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8760" activeTab="0"/>
  </bookViews>
  <sheets>
    <sheet name="Randvoorwaarden_Specificaties" sheetId="1" r:id="rId1"/>
    <sheet name="Meetinstrument" sheetId="2" r:id="rId2"/>
    <sheet name="Extinctie" sheetId="3" r:id="rId3"/>
    <sheet name="Temperatuur" sheetId="4" r:id="rId4"/>
    <sheet name="Geleidendheid" sheetId="5" r:id="rId5"/>
    <sheet name="Zuurstof" sheetId="6" r:id="rId6"/>
    <sheet name="Zuurgraad" sheetId="7" r:id="rId7"/>
  </sheets>
  <definedNames>
    <definedName name="_xlnm.Print_Titles" localSheetId="4">'Geleidendheid'!$11:$14</definedName>
    <definedName name="_xlnm.Print_Titles" localSheetId="1">'Meetinstrument'!$24:$24</definedName>
    <definedName name="_xlnm.Print_Titles" localSheetId="3">'Temperatuur'!$5:$5</definedName>
    <definedName name="_xlnm.Print_Titles" localSheetId="6">'Zuurgraad'!$23:$23</definedName>
    <definedName name="_xlnm.Print_Titles" localSheetId="5">'Zuurstof'!$12:$12</definedName>
    <definedName name="EXTRACT" localSheetId="4">'Geleidendheid'!#REF!</definedName>
  </definedNames>
  <calcPr fullCalcOnLoad="1"/>
</workbook>
</file>

<file path=xl/sharedStrings.xml><?xml version="1.0" encoding="utf-8"?>
<sst xmlns="http://schemas.openxmlformats.org/spreadsheetml/2006/main" count="407" uniqueCount="149">
  <si>
    <t>Datum</t>
  </si>
  <si>
    <t>Temperatuur</t>
  </si>
  <si>
    <t>Verschil</t>
  </si>
  <si>
    <t>Start</t>
  </si>
  <si>
    <t>Einde</t>
  </si>
  <si>
    <t>Geleidendheid</t>
  </si>
  <si>
    <t>Meting</t>
  </si>
  <si>
    <t>Eenheid</t>
  </si>
  <si>
    <t>%</t>
  </si>
  <si>
    <t>°C</t>
  </si>
  <si>
    <t>-</t>
  </si>
  <si>
    <t>Merk</t>
  </si>
  <si>
    <t>Controle</t>
  </si>
  <si>
    <t>Serienummer</t>
  </si>
  <si>
    <t>Type</t>
  </si>
  <si>
    <t>mS/m</t>
  </si>
  <si>
    <t>Zuurgraad (pH)</t>
  </si>
  <si>
    <t>mg/l</t>
  </si>
  <si>
    <r>
      <t>µmol s</t>
    </r>
    <r>
      <rPr>
        <vertAlign val="superscript"/>
        <sz val="8"/>
        <rFont val="Verdana"/>
        <family val="2"/>
      </rPr>
      <t>-1</t>
    </r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-2</t>
    </r>
  </si>
  <si>
    <r>
      <t>m</t>
    </r>
    <r>
      <rPr>
        <vertAlign val="superscript"/>
        <sz val="8"/>
        <rFont val="Verdana"/>
        <family val="2"/>
      </rPr>
      <t>-1</t>
    </r>
  </si>
  <si>
    <t>pH</t>
  </si>
  <si>
    <t>Theoretisch</t>
  </si>
  <si>
    <t>Gemeten</t>
  </si>
  <si>
    <t>cm</t>
  </si>
  <si>
    <t>absoluut</t>
  </si>
  <si>
    <t>verzadiging</t>
  </si>
  <si>
    <t>Hoedanigheid</t>
  </si>
  <si>
    <t>Zoet</t>
  </si>
  <si>
    <t>Zout</t>
  </si>
  <si>
    <t>ja</t>
  </si>
  <si>
    <t>nee</t>
  </si>
  <si>
    <t>Steilheid</t>
  </si>
  <si>
    <t>Randvoorwaarden</t>
  </si>
  <si>
    <t>Nummer</t>
  </si>
  <si>
    <t>Factor</t>
  </si>
  <si>
    <t>Logger</t>
  </si>
  <si>
    <t>Buffer KCl 0,01 mol/l</t>
  </si>
  <si>
    <t>Buffer KCl 0,2 mol/l</t>
  </si>
  <si>
    <t>20 ºC</t>
  </si>
  <si>
    <t>Zuurstof</t>
  </si>
  <si>
    <t>Extinctie</t>
  </si>
  <si>
    <t>Toetsing</t>
  </si>
  <si>
    <t>vanaf</t>
  </si>
  <si>
    <t>dagelijks</t>
  </si>
  <si>
    <t>wekelijks</t>
  </si>
  <si>
    <t>Laag</t>
  </si>
  <si>
    <t>Hoog</t>
  </si>
  <si>
    <t>Gemiddeld</t>
  </si>
  <si>
    <t>lichtintensiteit</t>
  </si>
  <si>
    <t>coëfficiënt (berekend)</t>
  </si>
  <si>
    <t>tot</t>
  </si>
  <si>
    <t>van</t>
  </si>
  <si>
    <t>KCl mol/l</t>
  </si>
  <si>
    <t>Compartiment</t>
  </si>
  <si>
    <t>25 ºC</t>
  </si>
  <si>
    <t>Luchtdruk</t>
  </si>
  <si>
    <r>
      <t>DO</t>
    </r>
    <r>
      <rPr>
        <b/>
        <vertAlign val="subscript"/>
        <sz val="8"/>
        <rFont val="Verdana"/>
        <family val="2"/>
      </rPr>
      <t>s</t>
    </r>
  </si>
  <si>
    <r>
      <t>P</t>
    </r>
    <r>
      <rPr>
        <b/>
        <vertAlign val="subscript"/>
        <sz val="8"/>
        <rFont val="Verdana"/>
        <family val="2"/>
      </rPr>
      <t>wv</t>
    </r>
  </si>
  <si>
    <t>ө</t>
  </si>
  <si>
    <t>hPa</t>
  </si>
  <si>
    <t>atm</t>
  </si>
  <si>
    <t>K</t>
  </si>
  <si>
    <t>Theoretisch (1atm)</t>
  </si>
  <si>
    <t>Gemeten (1atm)</t>
  </si>
  <si>
    <t>Resolutie</t>
  </si>
  <si>
    <t>Bereik</t>
  </si>
  <si>
    <t>Diepte</t>
  </si>
  <si>
    <t xml:space="preserve">Fysisch-chemische </t>
  </si>
  <si>
    <t>veldparameter</t>
  </si>
  <si>
    <t xml:space="preserve">Temperatuur </t>
  </si>
  <si>
    <t>maandelijks</t>
  </si>
  <si>
    <t>onderhoud</t>
  </si>
  <si>
    <t>Kalibratievloeistof (Buffer)</t>
  </si>
  <si>
    <t>n.v.t.</t>
  </si>
  <si>
    <t>Toetsing in water-verzadigd lucht of zuurstof-verzadigd water</t>
  </si>
  <si>
    <t>Kalibratievloeistof</t>
  </si>
  <si>
    <t>Verplicht pH 8</t>
  </si>
  <si>
    <t>Extra pH 7 en 9 of 10</t>
  </si>
  <si>
    <t>Meetonzekerheid</t>
  </si>
  <si>
    <t>Meetonzekerheid %</t>
  </si>
  <si>
    <t>thermometer</t>
  </si>
  <si>
    <t>certificaat</t>
  </si>
  <si>
    <t>sensor</t>
  </si>
  <si>
    <t>Methode</t>
  </si>
  <si>
    <t>Statische platte cel</t>
  </si>
  <si>
    <t>Dynamische sferische cel</t>
  </si>
  <si>
    <t>Sensor 1</t>
  </si>
  <si>
    <t>Sensor 2</t>
  </si>
  <si>
    <t>boven</t>
  </si>
  <si>
    <t>onder</t>
  </si>
  <si>
    <t>lichtintensiteit 1</t>
  </si>
  <si>
    <t>lichtintensiteit 2</t>
  </si>
  <si>
    <t>Multiprobe</t>
  </si>
  <si>
    <t>Algemeen</t>
  </si>
  <si>
    <t>toetsing</t>
  </si>
  <si>
    <t>LI-COR</t>
  </si>
  <si>
    <t>LI-192</t>
  </si>
  <si>
    <t>YSI</t>
  </si>
  <si>
    <t>EXOISE01</t>
  </si>
  <si>
    <t>AOIP</t>
  </si>
  <si>
    <t>ºC</t>
  </si>
  <si>
    <t>ºC (25 ºC)</t>
  </si>
  <si>
    <t>EXO2</t>
  </si>
  <si>
    <t>6612/Pt100</t>
  </si>
  <si>
    <t>Zuurgraad</t>
  </si>
  <si>
    <t>Lichtintensiteit referentie lucht</t>
  </si>
  <si>
    <t>statisch</t>
  </si>
  <si>
    <t>dynamisch</t>
  </si>
  <si>
    <t>Apparaat_sensor</t>
  </si>
  <si>
    <t>Opmerking</t>
  </si>
  <si>
    <t>Lichtintensiteit statisch water boven</t>
  </si>
  <si>
    <t>Lichtintensiteit statisch water onder</t>
  </si>
  <si>
    <t>Intern nummer</t>
  </si>
  <si>
    <t>Lichtintensiteit dynamisch water</t>
  </si>
  <si>
    <t>Temperatuur_Geleidendheid</t>
  </si>
  <si>
    <t>Temperatuur (toetsing)</t>
  </si>
  <si>
    <t>Troebelheid</t>
  </si>
  <si>
    <t>Blauwalg</t>
  </si>
  <si>
    <t>13F100198</t>
  </si>
  <si>
    <t>14F102507</t>
  </si>
  <si>
    <t>11A100785</t>
  </si>
  <si>
    <t>10C101689</t>
  </si>
  <si>
    <t>10M10123</t>
  </si>
  <si>
    <t>10M101025</t>
  </si>
  <si>
    <t>11C102783</t>
  </si>
  <si>
    <t>UWQ4386</t>
  </si>
  <si>
    <t>UWQ4629</t>
  </si>
  <si>
    <t>UWQ2543</t>
  </si>
  <si>
    <t>UWQ6271</t>
  </si>
  <si>
    <t>Fluorimeter (fluorescentie)</t>
  </si>
  <si>
    <t>Chlorofyl</t>
  </si>
  <si>
    <t>Datum in gebruik genomen</t>
  </si>
  <si>
    <t>10C101876</t>
  </si>
  <si>
    <t>Sensor vervangen i.v.m. storing sensor 19232</t>
  </si>
  <si>
    <t>Fysisch-chemische</t>
  </si>
  <si>
    <t>water</t>
  </si>
  <si>
    <t>lucht</t>
  </si>
  <si>
    <t>Plaatsing</t>
  </si>
  <si>
    <t>dak MMC</t>
  </si>
  <si>
    <t>in sensor</t>
  </si>
  <si>
    <t>Hanna</t>
  </si>
  <si>
    <t>HI7031L/C</t>
  </si>
  <si>
    <t>VWR</t>
  </si>
  <si>
    <t>Meetinstrument</t>
  </si>
  <si>
    <t>Specificaties meetinstrument</t>
  </si>
  <si>
    <t>Bernd kraft</t>
  </si>
  <si>
    <t>12923.3000</t>
  </si>
  <si>
    <t>minimaal</t>
  </si>
  <si>
    <t>µS/cm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</si>
</sst>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0"/>
    <numFmt numFmtId="166" formatCode="d/mm/yy;@"/>
  </numFmts>
  <fonts count="52">
    <font>
      <sz val="10"/>
      <name val="Arial"/>
      <family val="0"/>
    </font>
    <font>
      <sz val="9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indexed="12"/>
      <name val="Verdana"/>
      <family val="2"/>
    </font>
    <font>
      <b/>
      <sz val="10"/>
      <name val="Verdana"/>
      <family val="2"/>
    </font>
    <font>
      <sz val="8"/>
      <color indexed="12"/>
      <name val="Arial"/>
      <family val="0"/>
    </font>
    <font>
      <b/>
      <sz val="8"/>
      <color indexed="10"/>
      <name val="Verdana"/>
      <family val="2"/>
    </font>
    <font>
      <sz val="10"/>
      <color indexed="10"/>
      <name val="Arial"/>
      <family val="0"/>
    </font>
    <font>
      <sz val="8"/>
      <color indexed="10"/>
      <name val="Verdana"/>
      <family val="2"/>
    </font>
    <font>
      <sz val="8"/>
      <name val="Arial"/>
      <family val="0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12"/>
      <name val="Verdana"/>
      <family val="2"/>
    </font>
    <font>
      <b/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sz val="8"/>
      <color rgb="FF00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top" wrapText="1"/>
      <protection locked="0"/>
    </xf>
    <xf numFmtId="16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164" fontId="5" fillId="34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164" fontId="3" fillId="33" borderId="10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164" fontId="3" fillId="33" borderId="13" xfId="0" applyNumberFormat="1" applyFont="1" applyFill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 applyProtection="1">
      <alignment horizontal="center" vertical="top" wrapText="1"/>
      <protection/>
    </xf>
    <xf numFmtId="164" fontId="3" fillId="0" borderId="10" xfId="0" applyNumberFormat="1" applyFont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/>
      <protection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center" vertical="top" wrapText="1"/>
      <protection locked="0"/>
    </xf>
    <xf numFmtId="2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2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16" xfId="0" applyNumberFormat="1" applyFont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3" fillId="0" borderId="17" xfId="0" applyNumberFormat="1" applyFont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2" fontId="5" fillId="34" borderId="0" xfId="0" applyNumberFormat="1" applyFont="1" applyFill="1" applyBorder="1" applyAlignment="1" applyProtection="1">
      <alignment horizontal="center"/>
      <protection locked="0"/>
    </xf>
    <xf numFmtId="2" fontId="5" fillId="34" borderId="16" xfId="0" applyNumberFormat="1" applyFont="1" applyFill="1" applyBorder="1" applyAlignment="1" applyProtection="1">
      <alignment horizontal="center"/>
      <protection locked="0"/>
    </xf>
    <xf numFmtId="2" fontId="5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166" fontId="0" fillId="33" borderId="16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4" fontId="5" fillId="33" borderId="0" xfId="0" applyNumberFormat="1" applyFont="1" applyFill="1" applyBorder="1" applyAlignment="1" applyProtection="1">
      <alignment horizontal="center" vertical="top" wrapText="1"/>
      <protection/>
    </xf>
    <xf numFmtId="14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0" fontId="3" fillId="35" borderId="18" xfId="0" applyFont="1" applyFill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18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15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4" xfId="0" applyFont="1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0" fillId="33" borderId="17" xfId="0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6" fillId="33" borderId="15" xfId="0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1" fontId="3" fillId="33" borderId="19" xfId="0" applyNumberFormat="1" applyFont="1" applyFill="1" applyBorder="1" applyAlignment="1" applyProtection="1">
      <alignment horizontal="center" vertical="top" wrapText="1"/>
      <protection/>
    </xf>
    <xf numFmtId="1" fontId="3" fillId="33" borderId="11" xfId="0" applyNumberFormat="1" applyFont="1" applyFill="1" applyBorder="1" applyAlignment="1" applyProtection="1">
      <alignment horizontal="center" vertical="top" wrapText="1"/>
      <protection/>
    </xf>
    <xf numFmtId="1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33" borderId="17" xfId="0" applyFill="1" applyBorder="1" applyAlignment="1" applyProtection="1">
      <alignment/>
      <protection/>
    </xf>
    <xf numFmtId="0" fontId="3" fillId="35" borderId="18" xfId="0" applyNumberFormat="1" applyFont="1" applyFill="1" applyBorder="1" applyAlignment="1" applyProtection="1">
      <alignment horizontal="center" vertical="top" wrapText="1"/>
      <protection locked="0"/>
    </xf>
    <xf numFmtId="0" fontId="3" fillId="35" borderId="18" xfId="0" applyNumberFormat="1" applyFont="1" applyFill="1" applyBorder="1" applyAlignment="1" applyProtection="1">
      <alignment horizontal="center"/>
      <protection locked="0"/>
    </xf>
    <xf numFmtId="0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35" borderId="20" xfId="0" applyNumberFormat="1" applyFont="1" applyFill="1" applyBorder="1" applyAlignment="1" applyProtection="1">
      <alignment horizontal="center" vertical="top" wrapText="1"/>
      <protection locked="0"/>
    </xf>
    <xf numFmtId="0" fontId="3" fillId="35" borderId="15" xfId="0" applyNumberFormat="1" applyFont="1" applyFill="1" applyBorder="1" applyAlignment="1" applyProtection="1">
      <alignment horizontal="center" vertical="top"/>
      <protection locked="0"/>
    </xf>
    <xf numFmtId="0" fontId="3" fillId="35" borderId="16" xfId="0" applyNumberFormat="1" applyFont="1" applyFill="1" applyBorder="1" applyAlignment="1" applyProtection="1">
      <alignment horizontal="center" vertical="top" wrapText="1"/>
      <protection locked="0"/>
    </xf>
    <xf numFmtId="0" fontId="3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5" borderId="17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0" fillId="33" borderId="13" xfId="0" applyFill="1" applyBorder="1" applyAlignment="1" applyProtection="1">
      <alignment horizontal="left"/>
      <protection/>
    </xf>
    <xf numFmtId="166" fontId="0" fillId="33" borderId="10" xfId="0" applyNumberFormat="1" applyFill="1" applyBorder="1" applyAlignment="1" applyProtection="1">
      <alignment/>
      <protection/>
    </xf>
    <xf numFmtId="166" fontId="0" fillId="33" borderId="0" xfId="0" applyNumberForma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justify" vertical="top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/>
      <protection/>
    </xf>
    <xf numFmtId="0" fontId="2" fillId="33" borderId="11" xfId="0" applyFont="1" applyFill="1" applyBorder="1" applyAlignment="1" applyProtection="1">
      <alignment horizontal="justify" vertical="top"/>
      <protection/>
    </xf>
    <xf numFmtId="0" fontId="0" fillId="33" borderId="10" xfId="0" applyFont="1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justify" vertical="top"/>
      <protection/>
    </xf>
    <xf numFmtId="0" fontId="2" fillId="33" borderId="12" xfId="0" applyFont="1" applyFill="1" applyBorder="1" applyAlignment="1" applyProtection="1">
      <alignment horizontal="justify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14" fontId="3" fillId="33" borderId="21" xfId="0" applyNumberFormat="1" applyFont="1" applyFill="1" applyBorder="1" applyAlignment="1" applyProtection="1">
      <alignment horizontal="justify" vertical="top" wrapText="1"/>
      <protection/>
    </xf>
    <xf numFmtId="14" fontId="5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justify" vertical="top"/>
      <protection/>
    </xf>
    <xf numFmtId="0" fontId="0" fillId="33" borderId="13" xfId="0" applyFill="1" applyBorder="1" applyAlignment="1" applyProtection="1">
      <alignment horizontal="justify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 locked="0"/>
    </xf>
    <xf numFmtId="164" fontId="0" fillId="33" borderId="10" xfId="0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0" fillId="33" borderId="13" xfId="0" applyNumberForma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1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1" fontId="5" fillId="34" borderId="13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5" fontId="0" fillId="33" borderId="0" xfId="0" applyNumberForma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 vertical="top" wrapText="1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65" fontId="3" fillId="33" borderId="10" xfId="0" applyNumberFormat="1" applyFont="1" applyFill="1" applyBorder="1" applyAlignment="1" applyProtection="1">
      <alignment horizontal="center" vertical="top" wrapText="1"/>
      <protection/>
    </xf>
    <xf numFmtId="165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14" fillId="33" borderId="10" xfId="0" applyFont="1" applyFill="1" applyBorder="1" applyAlignment="1" applyProtection="1">
      <alignment horizontal="justify" vertical="top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2" fontId="2" fillId="33" borderId="13" xfId="0" applyNumberFormat="1" applyFont="1" applyFill="1" applyBorder="1" applyAlignment="1" applyProtection="1">
      <alignment horizontal="center" vertical="top" wrapText="1"/>
      <protection/>
    </xf>
    <xf numFmtId="165" fontId="2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/>
    </xf>
    <xf numFmtId="2" fontId="0" fillId="33" borderId="10" xfId="0" applyNumberFormat="1" applyFill="1" applyBorder="1" applyAlignment="1" applyProtection="1">
      <alignment horizontal="center" vertical="top"/>
      <protection/>
    </xf>
    <xf numFmtId="2" fontId="0" fillId="33" borderId="0" xfId="0" applyNumberFormat="1" applyFill="1" applyBorder="1" applyAlignment="1" applyProtection="1">
      <alignment horizontal="center" vertical="top"/>
      <protection/>
    </xf>
    <xf numFmtId="2" fontId="0" fillId="33" borderId="13" xfId="0" applyNumberFormat="1" applyFill="1" applyBorder="1" applyAlignment="1" applyProtection="1">
      <alignment horizontal="center" vertical="top"/>
      <protection/>
    </xf>
    <xf numFmtId="2" fontId="0" fillId="33" borderId="10" xfId="0" applyNumberFormat="1" applyFont="1" applyFill="1" applyBorder="1" applyAlignment="1" applyProtection="1">
      <alignment horizontal="center" vertical="top"/>
      <protection/>
    </xf>
    <xf numFmtId="2" fontId="5" fillId="34" borderId="23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justify" vertical="top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/>
    </xf>
    <xf numFmtId="2" fontId="3" fillId="0" borderId="14" xfId="0" applyNumberFormat="1" applyFont="1" applyBorder="1" applyAlignment="1" applyProtection="1">
      <alignment horizontal="center" vertical="top" wrapText="1"/>
      <protection/>
    </xf>
    <xf numFmtId="164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23" xfId="0" applyNumberFormat="1" applyFont="1" applyFill="1" applyBorder="1" applyAlignment="1" applyProtection="1">
      <alignment horizontal="center" vertical="top" wrapText="1"/>
      <protection locked="0"/>
    </xf>
    <xf numFmtId="164" fontId="16" fillId="33" borderId="0" xfId="0" applyNumberFormat="1" applyFont="1" applyFill="1" applyBorder="1" applyAlignment="1" applyProtection="1">
      <alignment horizontal="right"/>
      <protection/>
    </xf>
    <xf numFmtId="164" fontId="12" fillId="33" borderId="0" xfId="0" applyNumberFormat="1" applyFont="1" applyFill="1" applyBorder="1" applyAlignment="1" applyProtection="1">
      <alignment horizontal="right"/>
      <protection/>
    </xf>
    <xf numFmtId="0" fontId="6" fillId="33" borderId="15" xfId="0" applyNumberFormat="1" applyFont="1" applyFill="1" applyBorder="1" applyAlignment="1" applyProtection="1">
      <alignment horizontal="left" vertical="top" wrapText="1"/>
      <protection/>
    </xf>
    <xf numFmtId="166" fontId="2" fillId="33" borderId="16" xfId="0" applyNumberFormat="1" applyFont="1" applyFill="1" applyBorder="1" applyAlignment="1" applyProtection="1">
      <alignment horizontal="justify" vertical="top" wrapText="1"/>
      <protection/>
    </xf>
    <xf numFmtId="0" fontId="2" fillId="33" borderId="11" xfId="0" applyNumberFormat="1" applyFont="1" applyFill="1" applyBorder="1" applyAlignment="1" applyProtection="1">
      <alignment horizontal="justify" vertical="top" wrapText="1"/>
      <protection/>
    </xf>
    <xf numFmtId="0" fontId="2" fillId="33" borderId="15" xfId="0" applyNumberFormat="1" applyFont="1" applyFill="1" applyBorder="1" applyAlignment="1" applyProtection="1">
      <alignment horizontal="justify" vertical="top" wrapText="1"/>
      <protection/>
    </xf>
    <xf numFmtId="166" fontId="2" fillId="33" borderId="14" xfId="0" applyNumberFormat="1" applyFont="1" applyFill="1" applyBorder="1" applyAlignment="1" applyProtection="1">
      <alignment horizontal="justify" vertical="top" wrapText="1"/>
      <protection/>
    </xf>
    <xf numFmtId="166" fontId="2" fillId="33" borderId="0" xfId="0" applyNumberFormat="1" applyFont="1" applyFill="1" applyBorder="1" applyAlignment="1" applyProtection="1">
      <alignment horizontal="center" vertical="top" wrapText="1"/>
      <protection/>
    </xf>
    <xf numFmtId="166" fontId="0" fillId="33" borderId="14" xfId="0" applyNumberFormat="1" applyFill="1" applyBorder="1" applyAlignment="1" applyProtection="1">
      <alignment/>
      <protection/>
    </xf>
    <xf numFmtId="2" fontId="5" fillId="33" borderId="14" xfId="0" applyNumberFormat="1" applyFont="1" applyFill="1" applyBorder="1" applyAlignment="1" applyProtection="1">
      <alignment horizontal="center" vertical="top" wrapText="1"/>
      <protection/>
    </xf>
    <xf numFmtId="2" fontId="5" fillId="33" borderId="17" xfId="0" applyNumberFormat="1" applyFont="1" applyFill="1" applyBorder="1" applyAlignment="1" applyProtection="1">
      <alignment horizontal="center" vertical="top" wrapText="1"/>
      <protection/>
    </xf>
    <xf numFmtId="0" fontId="17" fillId="33" borderId="15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3" fillId="36" borderId="18" xfId="0" applyNumberFormat="1" applyFont="1" applyFill="1" applyBorder="1" applyAlignment="1" applyProtection="1">
      <alignment horizontal="center" vertical="top" wrapText="1"/>
      <protection/>
    </xf>
    <xf numFmtId="0" fontId="51" fillId="31" borderId="18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8" xfId="0" applyFont="1" applyFill="1" applyBorder="1" applyAlignment="1" applyProtection="1">
      <alignment horizontal="center" vertical="top" wrapText="1"/>
      <protection locked="0"/>
    </xf>
    <xf numFmtId="0" fontId="5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0" xfId="0" applyFont="1" applyFill="1" applyBorder="1" applyAlignment="1" applyProtection="1">
      <alignment horizontal="center"/>
      <protection locked="0"/>
    </xf>
    <xf numFmtId="0" fontId="51" fillId="34" borderId="16" xfId="0" applyFont="1" applyFill="1" applyBorder="1" applyAlignment="1" applyProtection="1">
      <alignment horizontal="center"/>
      <protection locked="0"/>
    </xf>
    <xf numFmtId="0" fontId="51" fillId="34" borderId="0" xfId="0" applyFont="1" applyFill="1" applyBorder="1" applyAlignment="1" applyProtection="1">
      <alignment horizontal="center" vertical="top" wrapText="1"/>
      <protection locked="0"/>
    </xf>
    <xf numFmtId="0" fontId="51" fillId="34" borderId="0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18" xfId="0" applyFont="1" applyFill="1" applyBorder="1" applyAlignment="1" applyProtection="1">
      <alignment horizontal="center" vertical="top" wrapText="1"/>
      <protection locked="0"/>
    </xf>
    <xf numFmtId="0" fontId="3" fillId="31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vertical="top"/>
      <protection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51" fillId="34" borderId="25" xfId="0" applyNumberFormat="1" applyFont="1" applyFill="1" applyBorder="1" applyAlignment="1" applyProtection="1">
      <alignment horizontal="center"/>
      <protection locked="0"/>
    </xf>
    <xf numFmtId="0" fontId="51" fillId="34" borderId="24" xfId="0" applyFont="1" applyFill="1" applyBorder="1" applyAlignment="1" applyProtection="1">
      <alignment horizontal="center"/>
      <protection locked="0"/>
    </xf>
    <xf numFmtId="0" fontId="51" fillId="34" borderId="27" xfId="0" applyFont="1" applyFill="1" applyBorder="1" applyAlignment="1" applyProtection="1">
      <alignment horizontal="center"/>
      <protection locked="0"/>
    </xf>
    <xf numFmtId="0" fontId="51" fillId="34" borderId="24" xfId="0" applyFont="1" applyFill="1" applyBorder="1" applyAlignment="1" applyProtection="1">
      <alignment horizontal="center" vertical="top" wrapText="1"/>
      <protection locked="0"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2" fillId="33" borderId="28" xfId="0" applyFont="1" applyFill="1" applyBorder="1" applyAlignment="1" applyProtection="1">
      <alignment vertical="top"/>
      <protection/>
    </xf>
    <xf numFmtId="0" fontId="3" fillId="33" borderId="29" xfId="0" applyFont="1" applyFill="1" applyBorder="1" applyAlignment="1" applyProtection="1">
      <alignment horizontal="center" vertical="top" wrapText="1"/>
      <protection/>
    </xf>
    <xf numFmtId="0" fontId="51" fillId="0" borderId="29" xfId="0" applyFont="1" applyFill="1" applyBorder="1" applyAlignment="1" applyProtection="1">
      <alignment horizontal="center" vertical="top" wrapText="1"/>
      <protection locked="0"/>
    </xf>
    <xf numFmtId="0" fontId="51" fillId="34" borderId="30" xfId="0" applyFont="1" applyFill="1" applyBorder="1" applyAlignment="1" applyProtection="1">
      <alignment horizontal="center"/>
      <protection locked="0"/>
    </xf>
    <xf numFmtId="0" fontId="51" fillId="34" borderId="31" xfId="0" applyFont="1" applyFill="1" applyBorder="1" applyAlignment="1" applyProtection="1">
      <alignment horizontal="center"/>
      <protection locked="0"/>
    </xf>
    <xf numFmtId="0" fontId="51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3" fillId="31" borderId="31" xfId="0" applyFont="1" applyFill="1" applyBorder="1" applyAlignment="1" applyProtection="1">
      <alignment horizontal="center" vertical="top" wrapText="1"/>
      <protection locked="0"/>
    </xf>
    <xf numFmtId="0" fontId="51" fillId="31" borderId="29" xfId="0" applyNumberFormat="1" applyFont="1" applyFill="1" applyBorder="1" applyAlignment="1" applyProtection="1">
      <alignment horizontal="center" vertical="top" wrapText="1"/>
      <protection locked="0"/>
    </xf>
    <xf numFmtId="0" fontId="51" fillId="31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justify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justify" vertical="top"/>
      <protection/>
    </xf>
    <xf numFmtId="0" fontId="14" fillId="33" borderId="0" xfId="0" applyFont="1" applyFill="1" applyBorder="1" applyAlignment="1" applyProtection="1">
      <alignment horizontal="justify" vertical="top"/>
      <protection/>
    </xf>
    <xf numFmtId="2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2" fontId="0" fillId="33" borderId="0" xfId="0" applyNumberFormat="1" applyFill="1" applyBorder="1" applyAlignment="1" applyProtection="1">
      <alignment horizontal="justify" vertical="top"/>
      <protection/>
    </xf>
    <xf numFmtId="0" fontId="0" fillId="33" borderId="16" xfId="0" applyFill="1" applyBorder="1" applyAlignment="1" applyProtection="1">
      <alignment horizontal="justify" vertical="top"/>
      <protection/>
    </xf>
    <xf numFmtId="0" fontId="5" fillId="34" borderId="23" xfId="0" applyNumberFormat="1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vertical="top" wrapText="1"/>
      <protection/>
    </xf>
    <xf numFmtId="22" fontId="5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ill="1" applyBorder="1" applyAlignment="1" applyProtection="1">
      <alignment vertical="top" wrapText="1"/>
      <protection/>
    </xf>
    <xf numFmtId="0" fontId="0" fillId="33" borderId="10" xfId="0" applyNumberFormat="1" applyFill="1" applyBorder="1" applyAlignment="1" applyProtection="1">
      <alignment vertical="top" wrapText="1"/>
      <protection locked="0"/>
    </xf>
    <xf numFmtId="0" fontId="0" fillId="33" borderId="14" xfId="0" applyNumberFormat="1" applyFill="1" applyBorder="1" applyAlignment="1" applyProtection="1">
      <alignment vertical="top" wrapText="1"/>
      <protection/>
    </xf>
    <xf numFmtId="0" fontId="2" fillId="33" borderId="12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7" xfId="0" applyNumberFormat="1" applyFont="1" applyFill="1" applyBorder="1" applyAlignment="1" applyProtection="1">
      <alignment horizontal="left" vertical="top" wrapText="1"/>
      <protection/>
    </xf>
    <xf numFmtId="14" fontId="5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51" fillId="31" borderId="0" xfId="0" applyFont="1" applyFill="1" applyBorder="1" applyAlignment="1" applyProtection="1">
      <alignment horizontal="justify" vertical="top"/>
      <protection locked="0"/>
    </xf>
    <xf numFmtId="2" fontId="51" fillId="31" borderId="0" xfId="0" applyNumberFormat="1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Border="1" applyAlignment="1" applyProtection="1" quotePrefix="1">
      <alignment horizontal="center"/>
      <protection locked="0"/>
    </xf>
    <xf numFmtId="0" fontId="3" fillId="33" borderId="25" xfId="0" applyFont="1" applyFill="1" applyBorder="1" applyAlignment="1" applyProtection="1">
      <alignment horizontal="center" vertical="top"/>
      <protection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 vertical="top" wrapText="1"/>
      <protection locked="0"/>
    </xf>
    <xf numFmtId="0" fontId="3" fillId="33" borderId="27" xfId="0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top" wrapText="1"/>
      <protection/>
    </xf>
    <xf numFmtId="1" fontId="3" fillId="33" borderId="13" xfId="0" applyNumberFormat="1" applyFont="1" applyFill="1" applyBorder="1" applyAlignment="1" applyProtection="1">
      <alignment horizontal="center" vertical="top" wrapText="1"/>
      <protection/>
    </xf>
    <xf numFmtId="1" fontId="0" fillId="33" borderId="0" xfId="0" applyNumberForma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justify" vertical="top"/>
      <protection/>
    </xf>
    <xf numFmtId="0" fontId="0" fillId="0" borderId="10" xfId="0" applyBorder="1" applyAlignment="1">
      <alignment/>
    </xf>
    <xf numFmtId="0" fontId="2" fillId="33" borderId="0" xfId="0" applyFont="1" applyFill="1" applyBorder="1" applyAlignment="1" applyProtection="1">
      <alignment horizontal="justify" vertical="top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3"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2133600</xdr:colOff>
      <xdr:row>0</xdr:row>
      <xdr:rowOff>66675</xdr:rowOff>
    </xdr:from>
    <xdr:to>
      <xdr:col>4</xdr:col>
      <xdr:colOff>2571750</xdr:colOff>
      <xdr:row>1</xdr:row>
      <xdr:rowOff>28575</xdr:rowOff>
    </xdr:to>
    <xdr:pic macro="[0]!meetreeks_toevoegen_apparaat_sensor">
      <xdr:nvPicPr>
        <xdr:cNvPr id="1" name="Picture 4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66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76200</xdr:rowOff>
    </xdr:from>
    <xdr:to>
      <xdr:col>8</xdr:col>
      <xdr:colOff>457200</xdr:colOff>
      <xdr:row>2</xdr:row>
      <xdr:rowOff>190500</xdr:rowOff>
    </xdr:to>
    <xdr:pic macro="[0]!meetreeks_toevoegen_extinctie">
      <xdr:nvPicPr>
        <xdr:cNvPr id="1" name="Picture 27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62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47625</xdr:rowOff>
    </xdr:from>
    <xdr:to>
      <xdr:col>4</xdr:col>
      <xdr:colOff>533400</xdr:colOff>
      <xdr:row>3</xdr:row>
      <xdr:rowOff>0</xdr:rowOff>
    </xdr:to>
    <xdr:pic macro="[0]!meetreeks_toevoegen_temperatuur">
      <xdr:nvPicPr>
        <xdr:cNvPr id="1" name="Picture 3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1</xdr:row>
      <xdr:rowOff>85725</xdr:rowOff>
    </xdr:from>
    <xdr:to>
      <xdr:col>14</xdr:col>
      <xdr:colOff>133350</xdr:colOff>
      <xdr:row>4</xdr:row>
      <xdr:rowOff>38100</xdr:rowOff>
    </xdr:to>
    <xdr:pic macro="[0]!meetreeks_toevoegen_geleidendheid">
      <xdr:nvPicPr>
        <xdr:cNvPr id="1" name="Picture 24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76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514350</xdr:colOff>
      <xdr:row>1</xdr:row>
      <xdr:rowOff>0</xdr:rowOff>
    </xdr:from>
    <xdr:to>
      <xdr:col>15</xdr:col>
      <xdr:colOff>333375</xdr:colOff>
      <xdr:row>3</xdr:row>
      <xdr:rowOff>114300</xdr:rowOff>
    </xdr:to>
    <xdr:pic macro="[0]!meetreeks_toevoegen_zuurstof">
      <xdr:nvPicPr>
        <xdr:cNvPr id="1" name="Picture 17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19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47625</xdr:rowOff>
    </xdr:from>
    <xdr:to>
      <xdr:col>7</xdr:col>
      <xdr:colOff>561975</xdr:colOff>
      <xdr:row>3</xdr:row>
      <xdr:rowOff>0</xdr:rowOff>
    </xdr:to>
    <xdr:pic macro="[0]!meetreeks_toevoegen_pH_Extra">
      <xdr:nvPicPr>
        <xdr:cNvPr id="1" name="Picture 32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57150</xdr:rowOff>
    </xdr:from>
    <xdr:to>
      <xdr:col>4</xdr:col>
      <xdr:colOff>561975</xdr:colOff>
      <xdr:row>3</xdr:row>
      <xdr:rowOff>9525</xdr:rowOff>
    </xdr:to>
    <xdr:pic macro="[0]!meetreeks_toevoegen_pH_Verplicht">
      <xdr:nvPicPr>
        <xdr:cNvPr id="2" name="Picture 33" descr="MC90043268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3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8.8515625" style="19" customWidth="1"/>
    <col min="2" max="2" width="13.8515625" style="91" bestFit="1" customWidth="1"/>
    <col min="3" max="3" width="10.00390625" style="19" bestFit="1" customWidth="1"/>
    <col min="4" max="4" width="9.8515625" style="19" customWidth="1"/>
    <col min="5" max="5" width="6.8515625" style="19" customWidth="1"/>
    <col min="6" max="6" width="7.421875" style="19" customWidth="1"/>
    <col min="7" max="7" width="7.57421875" style="19" customWidth="1"/>
    <col min="8" max="8" width="12.421875" style="19" customWidth="1"/>
    <col min="9" max="9" width="13.7109375" style="1" customWidth="1"/>
    <col min="10" max="10" width="13.7109375" style="19" customWidth="1"/>
    <col min="11" max="12" width="9.140625" style="19" customWidth="1"/>
    <col min="13" max="13" width="0" style="19" hidden="1" customWidth="1"/>
    <col min="14" max="14" width="10.7109375" style="19" bestFit="1" customWidth="1"/>
    <col min="15" max="16384" width="9.140625" style="19" customWidth="1"/>
  </cols>
  <sheetData>
    <row r="1" spans="1:13" ht="12.75" customHeight="1">
      <c r="A1" s="101" t="s">
        <v>32</v>
      </c>
      <c r="B1" s="102"/>
      <c r="C1" s="103"/>
      <c r="D1" s="103"/>
      <c r="E1" s="103"/>
      <c r="F1" s="103"/>
      <c r="G1" s="103"/>
      <c r="H1" s="104"/>
      <c r="M1" s="1" t="s">
        <v>100</v>
      </c>
    </row>
    <row r="2" spans="1:13" ht="12.75" customHeight="1" thickBot="1">
      <c r="A2" s="29"/>
      <c r="B2" s="75"/>
      <c r="C2" s="14"/>
      <c r="D2" s="14"/>
      <c r="E2" s="14"/>
      <c r="F2" s="14"/>
      <c r="G2" s="14"/>
      <c r="H2" s="116"/>
      <c r="M2" s="246" t="s">
        <v>8</v>
      </c>
    </row>
    <row r="3" spans="1:13" ht="12.75" customHeight="1">
      <c r="A3" s="200" t="s">
        <v>67</v>
      </c>
      <c r="B3" s="199" t="s">
        <v>26</v>
      </c>
      <c r="C3" s="199" t="s">
        <v>7</v>
      </c>
      <c r="D3" s="199" t="s">
        <v>64</v>
      </c>
      <c r="E3" s="320" t="s">
        <v>65</v>
      </c>
      <c r="F3" s="321"/>
      <c r="G3" s="320" t="s">
        <v>78</v>
      </c>
      <c r="H3" s="322"/>
      <c r="M3" s="1" t="s">
        <v>101</v>
      </c>
    </row>
    <row r="4" spans="1:13" ht="12.75" customHeight="1">
      <c r="A4" s="27" t="s">
        <v>68</v>
      </c>
      <c r="B4" s="302"/>
      <c r="C4" s="302"/>
      <c r="D4" s="302" t="s">
        <v>147</v>
      </c>
      <c r="E4" s="323" t="s">
        <v>147</v>
      </c>
      <c r="F4" s="324"/>
      <c r="G4" s="303"/>
      <c r="H4" s="55"/>
      <c r="M4" s="1"/>
    </row>
    <row r="5" spans="1:13" ht="12.75" customHeight="1" thickBot="1">
      <c r="A5" s="201"/>
      <c r="B5" s="202"/>
      <c r="C5" s="203"/>
      <c r="D5" s="203"/>
      <c r="E5" s="159" t="s">
        <v>51</v>
      </c>
      <c r="F5" s="196" t="s">
        <v>50</v>
      </c>
      <c r="G5" s="201"/>
      <c r="H5" s="196"/>
      <c r="M5" s="245"/>
    </row>
    <row r="6" spans="1:13" ht="12.75" customHeight="1">
      <c r="A6" s="92" t="s">
        <v>40</v>
      </c>
      <c r="B6" s="93"/>
      <c r="C6" s="93"/>
      <c r="D6" s="113"/>
      <c r="E6" s="114"/>
      <c r="F6" s="115"/>
      <c r="G6" s="114"/>
      <c r="H6" s="106"/>
      <c r="I6" s="26"/>
      <c r="M6" s="1" t="s">
        <v>38</v>
      </c>
    </row>
    <row r="7" spans="1:13" ht="12.75" customHeight="1">
      <c r="A7" s="87" t="s">
        <v>48</v>
      </c>
      <c r="B7" s="94"/>
      <c r="C7" s="108" t="s">
        <v>18</v>
      </c>
      <c r="D7" s="117">
        <v>1</v>
      </c>
      <c r="E7" s="121">
        <v>1</v>
      </c>
      <c r="F7" s="122">
        <v>5000</v>
      </c>
      <c r="G7" s="121">
        <v>5</v>
      </c>
      <c r="H7" s="109" t="s">
        <v>8</v>
      </c>
      <c r="M7" s="1" t="s">
        <v>54</v>
      </c>
    </row>
    <row r="8" spans="1:13" s="42" customFormat="1" ht="12.75" customHeight="1">
      <c r="A8" s="87" t="s">
        <v>49</v>
      </c>
      <c r="B8" s="95"/>
      <c r="C8" s="95" t="s">
        <v>19</v>
      </c>
      <c r="D8" s="118">
        <v>0.01</v>
      </c>
      <c r="E8" s="123">
        <v>0</v>
      </c>
      <c r="F8" s="122">
        <v>10</v>
      </c>
      <c r="G8" s="124"/>
      <c r="H8" s="55"/>
      <c r="M8" s="1" t="s">
        <v>24</v>
      </c>
    </row>
    <row r="9" spans="1:13" ht="12.75" customHeight="1">
      <c r="A9" s="86" t="s">
        <v>66</v>
      </c>
      <c r="B9" s="90"/>
      <c r="C9" s="90" t="s">
        <v>23</v>
      </c>
      <c r="D9" s="117">
        <v>10</v>
      </c>
      <c r="E9" s="123">
        <v>0</v>
      </c>
      <c r="F9" s="122">
        <v>200</v>
      </c>
      <c r="G9" s="123">
        <v>10</v>
      </c>
      <c r="H9" s="46" t="s">
        <v>23</v>
      </c>
      <c r="M9" s="245"/>
    </row>
    <row r="10" spans="1:13" ht="12.75" customHeight="1">
      <c r="A10" s="86" t="s">
        <v>1</v>
      </c>
      <c r="B10" s="90"/>
      <c r="C10" s="90" t="s">
        <v>9</v>
      </c>
      <c r="D10" s="117">
        <v>0.01</v>
      </c>
      <c r="E10" s="123">
        <v>-4</v>
      </c>
      <c r="F10" s="122">
        <v>40</v>
      </c>
      <c r="G10" s="123">
        <v>0.1</v>
      </c>
      <c r="H10" s="244" t="s">
        <v>100</v>
      </c>
      <c r="M10" s="245"/>
    </row>
    <row r="11" spans="1:13" ht="12.75" customHeight="1">
      <c r="A11" s="86" t="s">
        <v>5</v>
      </c>
      <c r="B11" s="89" t="s">
        <v>38</v>
      </c>
      <c r="C11" s="90" t="s">
        <v>15</v>
      </c>
      <c r="D11" s="117">
        <v>0.5</v>
      </c>
      <c r="E11" s="123">
        <v>0</v>
      </c>
      <c r="F11" s="122">
        <v>200</v>
      </c>
      <c r="G11" s="123">
        <v>2</v>
      </c>
      <c r="H11" s="46" t="s">
        <v>8</v>
      </c>
      <c r="I11" s="97"/>
      <c r="M11" s="1" t="s">
        <v>29</v>
      </c>
    </row>
    <row r="12" spans="1:13" ht="12.75" customHeight="1">
      <c r="A12" s="86" t="s">
        <v>16</v>
      </c>
      <c r="B12" s="90"/>
      <c r="C12" s="90" t="s">
        <v>10</v>
      </c>
      <c r="D12" s="117">
        <v>0.01</v>
      </c>
      <c r="E12" s="123">
        <v>4</v>
      </c>
      <c r="F12" s="122">
        <v>10</v>
      </c>
      <c r="G12" s="123">
        <v>0.1</v>
      </c>
      <c r="H12" s="46" t="s">
        <v>10</v>
      </c>
      <c r="M12" s="1" t="s">
        <v>30</v>
      </c>
    </row>
    <row r="13" spans="1:13" ht="12.75" customHeight="1">
      <c r="A13" s="86" t="s">
        <v>39</v>
      </c>
      <c r="B13" s="90"/>
      <c r="C13" s="90"/>
      <c r="D13" s="119"/>
      <c r="E13" s="124"/>
      <c r="F13" s="125"/>
      <c r="G13" s="124"/>
      <c r="H13" s="46"/>
      <c r="M13" s="1" t="s">
        <v>106</v>
      </c>
    </row>
    <row r="14" spans="1:13" ht="12.75" customHeight="1">
      <c r="A14" s="87" t="s">
        <v>24</v>
      </c>
      <c r="B14" s="90"/>
      <c r="C14" s="90" t="s">
        <v>17</v>
      </c>
      <c r="D14" s="117">
        <v>0.02</v>
      </c>
      <c r="E14" s="123">
        <v>0</v>
      </c>
      <c r="F14" s="122">
        <v>20</v>
      </c>
      <c r="G14" s="123">
        <v>0.2</v>
      </c>
      <c r="H14" s="46" t="s">
        <v>17</v>
      </c>
      <c r="M14" s="1" t="s">
        <v>107</v>
      </c>
    </row>
    <row r="15" spans="1:8" ht="12.75" customHeight="1" thickBot="1">
      <c r="A15" s="88" t="s">
        <v>25</v>
      </c>
      <c r="B15" s="96"/>
      <c r="C15" s="96" t="s">
        <v>8</v>
      </c>
      <c r="D15" s="120">
        <v>0.1</v>
      </c>
      <c r="E15" s="126">
        <v>0</v>
      </c>
      <c r="F15" s="127">
        <v>150</v>
      </c>
      <c r="G15" s="126">
        <v>2</v>
      </c>
      <c r="H15" s="110" t="s">
        <v>8</v>
      </c>
    </row>
    <row r="16" ht="13.5" thickBot="1"/>
    <row r="17" spans="1:10" ht="12.75">
      <c r="A17" s="101" t="s">
        <v>144</v>
      </c>
      <c r="B17" s="102"/>
      <c r="C17" s="103"/>
      <c r="D17" s="103"/>
      <c r="E17" s="103"/>
      <c r="F17" s="103"/>
      <c r="G17" s="103"/>
      <c r="H17" s="103"/>
      <c r="I17" s="103"/>
      <c r="J17" s="104"/>
    </row>
    <row r="18" spans="1:10" ht="13.5" thickBot="1">
      <c r="A18" s="29"/>
      <c r="B18" s="75"/>
      <c r="C18" s="14"/>
      <c r="D18" s="14"/>
      <c r="E18" s="14"/>
      <c r="F18" s="14"/>
      <c r="G18" s="14"/>
      <c r="H18" s="21"/>
      <c r="I18" s="14"/>
      <c r="J18" s="116"/>
    </row>
    <row r="19" spans="1:10" ht="12" customHeight="1">
      <c r="A19" s="200" t="s">
        <v>134</v>
      </c>
      <c r="B19" s="199" t="s">
        <v>93</v>
      </c>
      <c r="C19" s="199" t="s">
        <v>7</v>
      </c>
      <c r="D19" s="199" t="s">
        <v>64</v>
      </c>
      <c r="E19" s="320" t="s">
        <v>65</v>
      </c>
      <c r="F19" s="321"/>
      <c r="G19" s="320" t="s">
        <v>78</v>
      </c>
      <c r="H19" s="322"/>
      <c r="I19" s="199" t="s">
        <v>11</v>
      </c>
      <c r="J19" s="199" t="s">
        <v>14</v>
      </c>
    </row>
    <row r="20" spans="1:10" ht="13.5" thickBot="1">
      <c r="A20" s="201" t="s">
        <v>68</v>
      </c>
      <c r="B20" s="202"/>
      <c r="C20" s="203"/>
      <c r="D20" s="203"/>
      <c r="E20" s="159" t="s">
        <v>51</v>
      </c>
      <c r="F20" s="196" t="s">
        <v>50</v>
      </c>
      <c r="G20" s="201"/>
      <c r="H20" s="196"/>
      <c r="I20" s="203"/>
      <c r="J20" s="203"/>
    </row>
    <row r="21" spans="1:10" ht="12.75">
      <c r="A21" s="92" t="s">
        <v>40</v>
      </c>
      <c r="B21" s="93"/>
      <c r="C21" s="93"/>
      <c r="D21" s="113"/>
      <c r="E21" s="114"/>
      <c r="F21" s="115"/>
      <c r="G21" s="114"/>
      <c r="H21" s="106"/>
      <c r="I21" s="113"/>
      <c r="J21" s="113"/>
    </row>
    <row r="22" spans="1:10" ht="12.75">
      <c r="A22" s="87" t="s">
        <v>90</v>
      </c>
      <c r="B22" s="236" t="s">
        <v>29</v>
      </c>
      <c r="C22" s="108" t="s">
        <v>18</v>
      </c>
      <c r="D22" s="237">
        <v>1</v>
      </c>
      <c r="E22" s="68">
        <v>0.03</v>
      </c>
      <c r="F22" s="71">
        <v>10000</v>
      </c>
      <c r="G22" s="69">
        <v>2</v>
      </c>
      <c r="H22" s="109" t="s">
        <v>8</v>
      </c>
      <c r="I22" s="236" t="s">
        <v>95</v>
      </c>
      <c r="J22" s="236" t="s">
        <v>96</v>
      </c>
    </row>
    <row r="23" spans="1:10" ht="12.75">
      <c r="A23" s="247" t="s">
        <v>91</v>
      </c>
      <c r="B23" s="265" t="s">
        <v>29</v>
      </c>
      <c r="C23" s="298" t="s">
        <v>18</v>
      </c>
      <c r="D23" s="248">
        <v>1</v>
      </c>
      <c r="E23" s="249">
        <v>0.03</v>
      </c>
      <c r="F23" s="299">
        <v>10000</v>
      </c>
      <c r="G23" s="300">
        <v>2</v>
      </c>
      <c r="H23" s="301" t="s">
        <v>8</v>
      </c>
      <c r="I23" s="265" t="s">
        <v>95</v>
      </c>
      <c r="J23" s="265" t="s">
        <v>96</v>
      </c>
    </row>
    <row r="24" spans="1:10" ht="12.75">
      <c r="A24" s="233" t="s">
        <v>92</v>
      </c>
      <c r="B24" s="236" t="s">
        <v>29</v>
      </c>
      <c r="C24" s="95"/>
      <c r="D24" s="124"/>
      <c r="E24" s="124"/>
      <c r="F24" s="125"/>
      <c r="G24" s="124"/>
      <c r="H24" s="55"/>
      <c r="I24" s="238" t="s">
        <v>97</v>
      </c>
      <c r="J24" s="238" t="s">
        <v>102</v>
      </c>
    </row>
    <row r="25" spans="1:10" ht="12.75">
      <c r="A25" s="86" t="s">
        <v>66</v>
      </c>
      <c r="B25" s="90"/>
      <c r="C25" s="90" t="s">
        <v>23</v>
      </c>
      <c r="D25" s="237">
        <v>0.001</v>
      </c>
      <c r="E25" s="239">
        <v>0</v>
      </c>
      <c r="F25" s="240">
        <v>250</v>
      </c>
      <c r="G25" s="241">
        <v>0.1</v>
      </c>
      <c r="H25" s="46" t="s">
        <v>23</v>
      </c>
      <c r="I25" s="238"/>
      <c r="J25" s="236" t="s">
        <v>10</v>
      </c>
    </row>
    <row r="26" spans="1:10" ht="12.75">
      <c r="A26" s="86" t="s">
        <v>1</v>
      </c>
      <c r="B26" s="90"/>
      <c r="C26" s="90" t="s">
        <v>9</v>
      </c>
      <c r="D26" s="237">
        <v>0.001</v>
      </c>
      <c r="E26" s="239">
        <v>-5</v>
      </c>
      <c r="F26" s="240">
        <v>50</v>
      </c>
      <c r="G26" s="242">
        <v>0.01</v>
      </c>
      <c r="H26" s="244" t="s">
        <v>100</v>
      </c>
      <c r="I26" s="238"/>
      <c r="J26" s="236">
        <v>599870</v>
      </c>
    </row>
    <row r="27" spans="1:10" ht="12.75">
      <c r="A27" s="86" t="s">
        <v>5</v>
      </c>
      <c r="B27" s="90"/>
      <c r="C27" s="90" t="s">
        <v>15</v>
      </c>
      <c r="D27" s="237">
        <v>0.0001</v>
      </c>
      <c r="E27" s="239">
        <v>0</v>
      </c>
      <c r="F27" s="240">
        <v>20000</v>
      </c>
      <c r="G27" s="241">
        <v>0.5</v>
      </c>
      <c r="H27" s="46" t="s">
        <v>8</v>
      </c>
      <c r="I27" s="238"/>
      <c r="J27" s="236">
        <v>599870</v>
      </c>
    </row>
    <row r="28" spans="1:10" ht="12.75">
      <c r="A28" s="86" t="s">
        <v>16</v>
      </c>
      <c r="B28" s="90"/>
      <c r="C28" s="90" t="s">
        <v>10</v>
      </c>
      <c r="D28" s="237">
        <v>0.01</v>
      </c>
      <c r="E28" s="239">
        <v>0</v>
      </c>
      <c r="F28" s="240">
        <v>14</v>
      </c>
      <c r="G28" s="241">
        <v>0.1</v>
      </c>
      <c r="H28" s="46" t="s">
        <v>10</v>
      </c>
      <c r="I28" s="238"/>
      <c r="J28" s="236" t="s">
        <v>98</v>
      </c>
    </row>
    <row r="29" spans="1:10" ht="12.75">
      <c r="A29" s="86" t="s">
        <v>39</v>
      </c>
      <c r="B29" s="90"/>
      <c r="C29" s="90"/>
      <c r="D29" s="119"/>
      <c r="E29" s="124"/>
      <c r="F29" s="125"/>
      <c r="G29" s="124"/>
      <c r="H29" s="46"/>
      <c r="I29" s="238"/>
      <c r="J29" s="236">
        <v>599100</v>
      </c>
    </row>
    <row r="30" spans="1:14" ht="12.75">
      <c r="A30" s="87" t="s">
        <v>24</v>
      </c>
      <c r="B30" s="90"/>
      <c r="C30" s="90" t="s">
        <v>17</v>
      </c>
      <c r="D30" s="243">
        <v>0.01</v>
      </c>
      <c r="E30" s="239">
        <v>0</v>
      </c>
      <c r="F30" s="240">
        <v>50</v>
      </c>
      <c r="G30" s="241">
        <v>0.1</v>
      </c>
      <c r="H30" s="46" t="s">
        <v>17</v>
      </c>
      <c r="I30" s="235"/>
      <c r="J30" s="119"/>
      <c r="N30" s="234"/>
    </row>
    <row r="31" spans="1:10" ht="12.75">
      <c r="A31" s="247" t="s">
        <v>25</v>
      </c>
      <c r="B31" s="251"/>
      <c r="C31" s="251" t="s">
        <v>8</v>
      </c>
      <c r="D31" s="252">
        <v>0.1</v>
      </c>
      <c r="E31" s="253">
        <v>0</v>
      </c>
      <c r="F31" s="254">
        <v>500</v>
      </c>
      <c r="G31" s="255">
        <v>1</v>
      </c>
      <c r="H31" s="256" t="s">
        <v>8</v>
      </c>
      <c r="I31" s="251"/>
      <c r="J31" s="250"/>
    </row>
    <row r="32" spans="1:10" ht="13.5" thickBot="1">
      <c r="A32" s="257" t="s">
        <v>1</v>
      </c>
      <c r="B32" s="258" t="s">
        <v>94</v>
      </c>
      <c r="C32" s="258" t="s">
        <v>9</v>
      </c>
      <c r="D32" s="259">
        <v>0.01</v>
      </c>
      <c r="E32" s="260">
        <v>-10</v>
      </c>
      <c r="F32" s="261">
        <v>50</v>
      </c>
      <c r="G32" s="262">
        <v>0.053</v>
      </c>
      <c r="H32" s="263" t="s">
        <v>101</v>
      </c>
      <c r="I32" s="264" t="s">
        <v>99</v>
      </c>
      <c r="J32" s="264" t="s">
        <v>103</v>
      </c>
    </row>
  </sheetData>
  <sheetProtection sheet="1" objects="1" scenarios="1"/>
  <mergeCells count="5">
    <mergeCell ref="E3:F3"/>
    <mergeCell ref="G3:H3"/>
    <mergeCell ref="E19:F19"/>
    <mergeCell ref="G19:H19"/>
    <mergeCell ref="E4:F4"/>
  </mergeCells>
  <conditionalFormatting sqref="D22">
    <cfRule type="expression" priority="157" dxfId="14" stopIfTrue="1">
      <formula>ISBLANK($D$22)</formula>
    </cfRule>
    <cfRule type="cellIs" priority="158" dxfId="1" operator="lessThanOrEqual" stopIfTrue="1">
      <formula>$D$7</formula>
    </cfRule>
    <cfRule type="cellIs" priority="159" dxfId="0" operator="greaterThan" stopIfTrue="1">
      <formula>$D$7</formula>
    </cfRule>
  </conditionalFormatting>
  <conditionalFormatting sqref="D30">
    <cfRule type="expression" priority="151" dxfId="14" stopIfTrue="1">
      <formula>ISBLANK($D$30)</formula>
    </cfRule>
    <cfRule type="cellIs" priority="152" dxfId="1" operator="lessThanOrEqual" stopIfTrue="1">
      <formula>$D$14</formula>
    </cfRule>
    <cfRule type="cellIs" priority="153" dxfId="0" operator="greaterThan" stopIfTrue="1">
      <formula>$D$14</formula>
    </cfRule>
  </conditionalFormatting>
  <conditionalFormatting sqref="D31">
    <cfRule type="expression" priority="148" dxfId="14" stopIfTrue="1">
      <formula>ISBLANK($D$31)</formula>
    </cfRule>
    <cfRule type="cellIs" priority="149" dxfId="1" operator="lessThanOrEqual" stopIfTrue="1">
      <formula>$D$15</formula>
    </cfRule>
    <cfRule type="cellIs" priority="150" dxfId="0" operator="greaterThan" stopIfTrue="1">
      <formula>$D$15</formula>
    </cfRule>
  </conditionalFormatting>
  <conditionalFormatting sqref="E26">
    <cfRule type="expression" priority="142" dxfId="14" stopIfTrue="1">
      <formula>ISBLANK($E$26)</formula>
    </cfRule>
    <cfRule type="cellIs" priority="143" dxfId="1" operator="lessThanOrEqual" stopIfTrue="1">
      <formula>$E$10</formula>
    </cfRule>
    <cfRule type="cellIs" priority="144" dxfId="0" operator="greaterThan" stopIfTrue="1">
      <formula>$E$10</formula>
    </cfRule>
  </conditionalFormatting>
  <conditionalFormatting sqref="F26">
    <cfRule type="expression" priority="139" dxfId="14" stopIfTrue="1">
      <formula>ISBLANK($F$26)</formula>
    </cfRule>
    <cfRule type="cellIs" priority="140" dxfId="1" operator="greaterThanOrEqual" stopIfTrue="1">
      <formula>$F$10</formula>
    </cfRule>
    <cfRule type="cellIs" priority="141" dxfId="0" operator="lessThan" stopIfTrue="1">
      <formula>$F$10</formula>
    </cfRule>
  </conditionalFormatting>
  <conditionalFormatting sqref="E27">
    <cfRule type="expression" priority="136" dxfId="14" stopIfTrue="1">
      <formula>ISBLANK($E$27)</formula>
    </cfRule>
    <cfRule type="cellIs" priority="137" dxfId="1" operator="lessThanOrEqual" stopIfTrue="1">
      <formula>$E$11</formula>
    </cfRule>
    <cfRule type="cellIs" priority="138" dxfId="0" operator="greaterThan" stopIfTrue="1">
      <formula>$E$11</formula>
    </cfRule>
  </conditionalFormatting>
  <conditionalFormatting sqref="F27">
    <cfRule type="expression" priority="133" dxfId="14" stopIfTrue="1">
      <formula>ISBLANK($F$27)</formula>
    </cfRule>
    <cfRule type="cellIs" priority="134" dxfId="1" operator="greaterThanOrEqual" stopIfTrue="1">
      <formula>$F$11</formula>
    </cfRule>
    <cfRule type="cellIs" priority="135" dxfId="0" operator="lessThan" stopIfTrue="1">
      <formula>$F$11</formula>
    </cfRule>
  </conditionalFormatting>
  <conditionalFormatting sqref="E28">
    <cfRule type="expression" priority="130" dxfId="14" stopIfTrue="1">
      <formula>ISBLANK($E$28)</formula>
    </cfRule>
    <cfRule type="cellIs" priority="131" dxfId="1" operator="lessThanOrEqual" stopIfTrue="1">
      <formula>$E$12</formula>
    </cfRule>
    <cfRule type="cellIs" priority="132" dxfId="0" operator="greaterThan" stopIfTrue="1">
      <formula>$E$12</formula>
    </cfRule>
  </conditionalFormatting>
  <conditionalFormatting sqref="F28">
    <cfRule type="expression" priority="127" dxfId="14" stopIfTrue="1">
      <formula>ISBLANK($F$28)</formula>
    </cfRule>
    <cfRule type="cellIs" priority="128" dxfId="1" operator="greaterThanOrEqual" stopIfTrue="1">
      <formula>$F$12</formula>
    </cfRule>
    <cfRule type="cellIs" priority="129" dxfId="0" operator="lessThan" stopIfTrue="1">
      <formula>$F$12</formula>
    </cfRule>
  </conditionalFormatting>
  <conditionalFormatting sqref="E30">
    <cfRule type="expression" priority="124" dxfId="14" stopIfTrue="1">
      <formula>ISBLANK($E$30)</formula>
    </cfRule>
    <cfRule type="cellIs" priority="125" dxfId="1" operator="lessThanOrEqual" stopIfTrue="1">
      <formula>$E$14</formula>
    </cfRule>
    <cfRule type="cellIs" priority="126" dxfId="0" operator="greaterThan" stopIfTrue="1">
      <formula>$E$14</formula>
    </cfRule>
  </conditionalFormatting>
  <conditionalFormatting sqref="E31">
    <cfRule type="expression" priority="121" dxfId="14" stopIfTrue="1">
      <formula>ISBLANK($E$31)</formula>
    </cfRule>
    <cfRule type="cellIs" priority="122" dxfId="1" operator="greaterThanOrEqual" stopIfTrue="1">
      <formula>$E$15</formula>
    </cfRule>
    <cfRule type="cellIs" priority="123" dxfId="0" operator="lessThan" stopIfTrue="1">
      <formula>$E$15</formula>
    </cfRule>
  </conditionalFormatting>
  <conditionalFormatting sqref="F31">
    <cfRule type="expression" priority="115" dxfId="14" stopIfTrue="1">
      <formula>ISBLANK($F$31)</formula>
    </cfRule>
    <cfRule type="cellIs" priority="116" dxfId="1" operator="greaterThanOrEqual" stopIfTrue="1">
      <formula>$F$15</formula>
    </cfRule>
    <cfRule type="cellIs" priority="117" dxfId="0" operator="lessThan" stopIfTrue="1">
      <formula>$F$15</formula>
    </cfRule>
  </conditionalFormatting>
  <conditionalFormatting sqref="E25">
    <cfRule type="expression" priority="112" dxfId="14" stopIfTrue="1">
      <formula>ISBLANK($E$25)</formula>
    </cfRule>
    <cfRule type="cellIs" priority="113" dxfId="1" operator="lessThanOrEqual" stopIfTrue="1">
      <formula>$E$9</formula>
    </cfRule>
    <cfRule type="cellIs" priority="114" dxfId="0" operator="greaterThan" stopIfTrue="1">
      <formula>$E$9</formula>
    </cfRule>
  </conditionalFormatting>
  <conditionalFormatting sqref="F25">
    <cfRule type="expression" priority="109" dxfId="14" stopIfTrue="1">
      <formula>ISBLANK($F$25)</formula>
    </cfRule>
    <cfRule type="cellIs" priority="110" dxfId="1" operator="greaterThanOrEqual" stopIfTrue="1">
      <formula>$F$9</formula>
    </cfRule>
    <cfRule type="cellIs" priority="111" dxfId="0" operator="lessThan" stopIfTrue="1">
      <formula>$F$9</formula>
    </cfRule>
  </conditionalFormatting>
  <conditionalFormatting sqref="E22">
    <cfRule type="expression" priority="94" dxfId="14" stopIfTrue="1">
      <formula>ISBLANK($E$22)</formula>
    </cfRule>
    <cfRule type="cellIs" priority="95" dxfId="1" operator="lessThanOrEqual" stopIfTrue="1">
      <formula>$E$7</formula>
    </cfRule>
    <cfRule type="cellIs" priority="96" dxfId="0" operator="greaterThan" stopIfTrue="1">
      <formula>$E$7</formula>
    </cfRule>
  </conditionalFormatting>
  <conditionalFormatting sqref="F22">
    <cfRule type="expression" priority="91" dxfId="14" stopIfTrue="1">
      <formula>ISBLANK($F$22)</formula>
    </cfRule>
    <cfRule type="cellIs" priority="92" dxfId="1" operator="greaterThanOrEqual" stopIfTrue="1">
      <formula>$F$7</formula>
    </cfRule>
    <cfRule type="cellIs" priority="93" dxfId="0" operator="lessThan" stopIfTrue="1">
      <formula>$F$7</formula>
    </cfRule>
  </conditionalFormatting>
  <conditionalFormatting sqref="D23">
    <cfRule type="expression" priority="82" dxfId="14" stopIfTrue="1">
      <formula>ISBLANK($D$23)</formula>
    </cfRule>
    <cfRule type="cellIs" priority="83" dxfId="1" operator="lessThanOrEqual" stopIfTrue="1">
      <formula>$D$7</formula>
    </cfRule>
    <cfRule type="cellIs" priority="84" dxfId="0" operator="greaterThan" stopIfTrue="1">
      <formula>$D$7</formula>
    </cfRule>
  </conditionalFormatting>
  <conditionalFormatting sqref="E23">
    <cfRule type="expression" priority="79" dxfId="14" stopIfTrue="1">
      <formula>ISBLANK($E$23)</formula>
    </cfRule>
    <cfRule type="cellIs" priority="80" dxfId="1" operator="lessThanOrEqual" stopIfTrue="1">
      <formula>$E$7</formula>
    </cfRule>
    <cfRule type="cellIs" priority="81" dxfId="0" operator="greaterThan" stopIfTrue="1">
      <formula>$E$7</formula>
    </cfRule>
  </conditionalFormatting>
  <conditionalFormatting sqref="F23">
    <cfRule type="expression" priority="76" dxfId="14" stopIfTrue="1">
      <formula>ISBLANK($F$23)</formula>
    </cfRule>
    <cfRule type="cellIs" priority="77" dxfId="1" operator="greaterThanOrEqual" stopIfTrue="1">
      <formula>$F$7</formula>
    </cfRule>
    <cfRule type="cellIs" priority="78" dxfId="0" operator="lessThan" stopIfTrue="1">
      <formula>$F$7</formula>
    </cfRule>
  </conditionalFormatting>
  <conditionalFormatting sqref="G22">
    <cfRule type="expression" priority="73" dxfId="14" stopIfTrue="1">
      <formula>ISBLANK($G$22)</formula>
    </cfRule>
    <cfRule type="cellIs" priority="74" dxfId="1" operator="lessThanOrEqual" stopIfTrue="1">
      <formula>$G$7</formula>
    </cfRule>
    <cfRule type="cellIs" priority="75" dxfId="0" operator="greaterThan" stopIfTrue="1">
      <formula>$G$7</formula>
    </cfRule>
  </conditionalFormatting>
  <conditionalFormatting sqref="G23">
    <cfRule type="expression" priority="70" dxfId="14" stopIfTrue="1">
      <formula>ISBLANK($G$22)</formula>
    </cfRule>
    <cfRule type="cellIs" priority="71" dxfId="1" operator="lessThanOrEqual" stopIfTrue="1">
      <formula>$G$7</formula>
    </cfRule>
    <cfRule type="cellIs" priority="72" dxfId="0" operator="greaterThan" stopIfTrue="1">
      <formula>$G$7</formula>
    </cfRule>
  </conditionalFormatting>
  <conditionalFormatting sqref="G25">
    <cfRule type="expression" priority="67" dxfId="14" stopIfTrue="1">
      <formula>ISBLANK($G$25)</formula>
    </cfRule>
    <cfRule type="cellIs" priority="68" dxfId="1" operator="lessThanOrEqual" stopIfTrue="1">
      <formula>$G$9</formula>
    </cfRule>
    <cfRule type="cellIs" priority="69" dxfId="0" operator="greaterThan" stopIfTrue="1">
      <formula>$G$9</formula>
    </cfRule>
  </conditionalFormatting>
  <conditionalFormatting sqref="G26">
    <cfRule type="expression" priority="64" dxfId="14" stopIfTrue="1">
      <formula>ISBLANK($G$26)</formula>
    </cfRule>
    <cfRule type="cellIs" priority="65" dxfId="1" operator="lessThanOrEqual" stopIfTrue="1">
      <formula>$G$10</formula>
    </cfRule>
    <cfRule type="cellIs" priority="66" dxfId="0" operator="greaterThan" stopIfTrue="1">
      <formula>$G$10</formula>
    </cfRule>
  </conditionalFormatting>
  <conditionalFormatting sqref="G27">
    <cfRule type="expression" priority="61" dxfId="14" stopIfTrue="1">
      <formula>ISBLANK($G$27)</formula>
    </cfRule>
    <cfRule type="cellIs" priority="62" dxfId="1" operator="lessThanOrEqual" stopIfTrue="1">
      <formula>$G$11</formula>
    </cfRule>
    <cfRule type="cellIs" priority="63" dxfId="0" operator="greaterThan" stopIfTrue="1">
      <formula>$G$11</formula>
    </cfRule>
  </conditionalFormatting>
  <conditionalFormatting sqref="G28">
    <cfRule type="expression" priority="58" dxfId="14" stopIfTrue="1">
      <formula>ISBLANK($G$28)</formula>
    </cfRule>
    <cfRule type="cellIs" priority="59" dxfId="1" operator="lessThanOrEqual" stopIfTrue="1">
      <formula>$G$12</formula>
    </cfRule>
    <cfRule type="cellIs" priority="60" dxfId="0" operator="greaterThan" stopIfTrue="1">
      <formula>$G$12</formula>
    </cfRule>
  </conditionalFormatting>
  <conditionalFormatting sqref="G30">
    <cfRule type="expression" priority="55" dxfId="14" stopIfTrue="1">
      <formula>ISBLANK($G$30)</formula>
    </cfRule>
    <cfRule type="cellIs" priority="56" dxfId="1" operator="lessThanOrEqual" stopIfTrue="1">
      <formula>$G$14</formula>
    </cfRule>
    <cfRule type="cellIs" priority="57" dxfId="0" operator="greaterThan" stopIfTrue="1">
      <formula>$G$14</formula>
    </cfRule>
  </conditionalFormatting>
  <conditionalFormatting sqref="G31">
    <cfRule type="expression" priority="52" dxfId="14" stopIfTrue="1">
      <formula>ISBLANK($G$31)</formula>
    </cfRule>
    <cfRule type="cellIs" priority="53" dxfId="1" operator="lessThanOrEqual" stopIfTrue="1">
      <formula>$G$15</formula>
    </cfRule>
    <cfRule type="cellIs" priority="54" dxfId="0" operator="greaterThan" stopIfTrue="1">
      <formula>$G$15</formula>
    </cfRule>
  </conditionalFormatting>
  <conditionalFormatting sqref="D32">
    <cfRule type="expression" priority="43" dxfId="14" stopIfTrue="1">
      <formula>ISBLANK($D$32)</formula>
    </cfRule>
    <cfRule type="cellIs" priority="44" dxfId="1" operator="lessThanOrEqual" stopIfTrue="1">
      <formula>$D$10</formula>
    </cfRule>
    <cfRule type="cellIs" priority="45" dxfId="0" operator="greaterThan" stopIfTrue="1">
      <formula>$D$10</formula>
    </cfRule>
  </conditionalFormatting>
  <conditionalFormatting sqref="E32">
    <cfRule type="expression" priority="40" dxfId="14" stopIfTrue="1">
      <formula>ISBLANK($E$32)</formula>
    </cfRule>
    <cfRule type="cellIs" priority="41" dxfId="1" operator="lessThanOrEqual" stopIfTrue="1">
      <formula>$E$10</formula>
    </cfRule>
    <cfRule type="cellIs" priority="42" dxfId="0" operator="greaterThan" stopIfTrue="1">
      <formula>$E$10</formula>
    </cfRule>
  </conditionalFormatting>
  <conditionalFormatting sqref="F32">
    <cfRule type="expression" priority="37" dxfId="14" stopIfTrue="1">
      <formula>ISBLANK($F$32)</formula>
    </cfRule>
    <cfRule type="cellIs" priority="38" dxfId="1" operator="greaterThanOrEqual" stopIfTrue="1">
      <formula>$F$10</formula>
    </cfRule>
    <cfRule type="cellIs" priority="39" dxfId="0" operator="lessThan" stopIfTrue="1">
      <formula>$F$10</formula>
    </cfRule>
  </conditionalFormatting>
  <conditionalFormatting sqref="G32">
    <cfRule type="expression" priority="34" dxfId="14" stopIfTrue="1">
      <formula>ISBLANK($G$32)</formula>
    </cfRule>
    <cfRule type="cellIs" priority="35" dxfId="1" operator="lessThanOrEqual" stopIfTrue="1">
      <formula>$G$10</formula>
    </cfRule>
    <cfRule type="cellIs" priority="36" dxfId="0" operator="greaterThan" stopIfTrue="1">
      <formula>$G$10</formula>
    </cfRule>
  </conditionalFormatting>
  <conditionalFormatting sqref="D25">
    <cfRule type="expression" priority="154" dxfId="14" stopIfTrue="1">
      <formula>ISBLANK($D$25)</formula>
    </cfRule>
    <cfRule type="cellIs" priority="155" dxfId="1" operator="lessThanOrEqual" stopIfTrue="1">
      <formula>$D$9</formula>
    </cfRule>
    <cfRule type="cellIs" priority="156" dxfId="0" operator="greaterThan" stopIfTrue="1">
      <formula>$D$9</formula>
    </cfRule>
  </conditionalFormatting>
  <conditionalFormatting sqref="D26">
    <cfRule type="expression" priority="10" dxfId="14" stopIfTrue="1">
      <formula>ISBLANK($D$26)</formula>
    </cfRule>
    <cfRule type="cellIs" priority="11" dxfId="1" operator="lessThanOrEqual" stopIfTrue="1">
      <formula>$D$10</formula>
    </cfRule>
    <cfRule type="cellIs" priority="12" dxfId="0" operator="greaterThan" stopIfTrue="1">
      <formula>$D$10</formula>
    </cfRule>
  </conditionalFormatting>
  <conditionalFormatting sqref="D27">
    <cfRule type="expression" priority="7" dxfId="14" stopIfTrue="1">
      <formula>ISBLANK($D$27)</formula>
    </cfRule>
    <cfRule type="cellIs" priority="8" dxfId="1" operator="lessThanOrEqual" stopIfTrue="1">
      <formula>$D$11</formula>
    </cfRule>
    <cfRule type="cellIs" priority="9" dxfId="0" operator="greaterThan" stopIfTrue="1">
      <formula>$D$11</formula>
    </cfRule>
  </conditionalFormatting>
  <conditionalFormatting sqref="D28">
    <cfRule type="expression" priority="4" dxfId="14" stopIfTrue="1">
      <formula>ISBLANK($D$28)</formula>
    </cfRule>
    <cfRule type="cellIs" priority="5" dxfId="1" operator="lessThanOrEqual" stopIfTrue="1">
      <formula>$D$12</formula>
    </cfRule>
    <cfRule type="cellIs" priority="6" dxfId="0" operator="greaterThan" stopIfTrue="1">
      <formula>$D$12</formula>
    </cfRule>
  </conditionalFormatting>
  <conditionalFormatting sqref="F30">
    <cfRule type="expression" priority="1" dxfId="14" stopIfTrue="1">
      <formula>ISBLANK($F$30)</formula>
    </cfRule>
    <cfRule type="cellIs" priority="2" dxfId="1" operator="greaterThanOrEqual" stopIfTrue="1">
      <formula>$F$14</formula>
    </cfRule>
    <cfRule type="cellIs" priority="3" dxfId="0" operator="lessThan" stopIfTrue="1">
      <formula>$F$14</formula>
    </cfRule>
  </conditionalFormatting>
  <conditionalFormatting sqref="J24">
    <cfRule type="expression" priority="190" dxfId="215">
      <formula>EXACT($B$24,$M$12)</formula>
    </cfRule>
    <cfRule type="expression" priority="191" dxfId="207">
      <formula>EXACT($B$24,$M$11)</formula>
    </cfRule>
    <cfRule type="expression" priority="192" dxfId="207">
      <formula>ISBLANK($J$24)</formula>
    </cfRule>
  </conditionalFormatting>
  <conditionalFormatting sqref="I24">
    <cfRule type="expression" priority="193" dxfId="215">
      <formula>EXACT($B$24,$M$12)</formula>
    </cfRule>
    <cfRule type="expression" priority="194" dxfId="207">
      <formula>EXACT($B$24,$M$11)</formula>
    </cfRule>
    <cfRule type="expression" priority="195" dxfId="207">
      <formula>ISBLANK($I$24)</formula>
    </cfRule>
  </conditionalFormatting>
  <conditionalFormatting sqref="I25">
    <cfRule type="expression" priority="196" dxfId="207">
      <formula>EXACT($B$24,$M$12)</formula>
    </cfRule>
    <cfRule type="expression" priority="197" dxfId="215">
      <formula>EXACT($B$24,$M$11)</formula>
    </cfRule>
    <cfRule type="expression" priority="198" dxfId="207">
      <formula>ISBLANK($I$25)</formula>
    </cfRule>
  </conditionalFormatting>
  <conditionalFormatting sqref="I26">
    <cfRule type="expression" priority="199" dxfId="207">
      <formula>EXACT($B$24,$M$12)</formula>
    </cfRule>
    <cfRule type="expression" priority="200" dxfId="215">
      <formula>EXACT($B$24,$M$11)</formula>
    </cfRule>
    <cfRule type="expression" priority="201" dxfId="207">
      <formula>ISBLANK($I$26)</formula>
    </cfRule>
  </conditionalFormatting>
  <conditionalFormatting sqref="I27">
    <cfRule type="expression" priority="202" dxfId="207">
      <formula>EXACT($B$24,$M$12)</formula>
    </cfRule>
    <cfRule type="expression" priority="203" dxfId="215">
      <formula>EXACT($B$24,$M$11)</formula>
    </cfRule>
    <cfRule type="expression" priority="204" dxfId="207">
      <formula>ISBLANK($I$27)</formula>
    </cfRule>
  </conditionalFormatting>
  <conditionalFormatting sqref="I28">
    <cfRule type="expression" priority="205" dxfId="207">
      <formula>EXACT($B$24,$M$12)</formula>
    </cfRule>
    <cfRule type="expression" priority="206" dxfId="215">
      <formula>EXACT($B$24,$M$11)</formula>
    </cfRule>
    <cfRule type="expression" priority="207" dxfId="207">
      <formula>ISBLANK($I$28)</formula>
    </cfRule>
  </conditionalFormatting>
  <conditionalFormatting sqref="I29">
    <cfRule type="expression" priority="208" dxfId="207">
      <formula>EXACT($B$24,$M$12)</formula>
    </cfRule>
    <cfRule type="expression" priority="209" dxfId="215">
      <formula>EXACT($B$24,$M$11)</formula>
    </cfRule>
    <cfRule type="expression" priority="210" dxfId="207">
      <formula>ISBLANK($I$29)</formula>
    </cfRule>
  </conditionalFormatting>
  <dataValidations count="20">
    <dataValidation errorStyle="warning" type="decimal" operator="lessThanOrEqual" allowBlank="1" showInputMessage="1" showErrorMessage="1" promptTitle="Internationale Standaard" prompt="NEN 6414:2008&#10;Nauwkeurigheid 0,5 °C" errorTitle="Niet conform Internat. Standaard" error="NEN 6414:2008&#10;NEN-ISO 10523:2008&#10;ISO 5814:1990&#10;ISO 7888:1985&#10;Nauwkeurigheid tenminste 0,5 °C." sqref="G32">
      <formula1>0.5</formula1>
    </dataValidation>
    <dataValidation errorStyle="warning" type="decimal" operator="lessThanOrEqual" allowBlank="1" showInputMessage="1" showErrorMessage="1" promptTitle="Internationale Standaard" prompt="NEN-EN-ISO 10523:2012&#10;Minimale resolutie 0,01" errorTitle="Niet conform NEN-ISO 10523:2008" error="NEN-ISO 10523:2008&#10;Resolutie tenminste 0,01" sqref="D28">
      <formula1>0.01</formula1>
    </dataValidation>
    <dataValidation errorStyle="warning" type="decimal" operator="lessThanOrEqual" allowBlank="1" showInputMessage="1" showErrorMessage="1" promptTitle="Internationale Standaard" prompt="NEN-EN-ISO 10523:2012&#10;Nauwkeurigheid 0,03" errorTitle="Niet conform NEN-ISO 10523:2008" error="Nauwkeurigheid tenminste 0,03" sqref="G28">
      <formula1>0.03</formula1>
    </dataValidation>
    <dataValidation errorStyle="warning" type="decimal" operator="lessThanOrEqual" allowBlank="1" showInputMessage="1" showErrorMessage="1" promptTitle="Internationale Standaard" prompt="NEN 6414:2008&#10;Minimale resolutie 0,1°C&#10;" errorTitle="Niet conform Internat. Standaard" error="NEN 6414:2008&#10;NEN-ISO 10523:2008&#10;ISO 5814:1990&#10;ISO 7888:1985&#10;Resolutie tenminste 0,1" sqref="D32">
      <formula1>0.1</formula1>
    </dataValidation>
    <dataValidation errorStyle="warning" type="decimal" operator="lessThanOrEqual" allowBlank="1" showInputMessage="1" showErrorMessage="1" promptTitle="Internationale Standaard" prompt="NEN-EN-ISO 5814:2012&#10;Minimale resolutie 0,1 mg/l" errorTitle="Niet conform ISO 5814:1990" error="ISO 5814:1990&#10;Resolutie tenminste 0,1 mg/l" sqref="D30">
      <formula1>0.1</formula1>
    </dataValidation>
    <dataValidation errorStyle="warning" type="decimal" operator="greaterThanOrEqual" allowBlank="1" showInputMessage="1" showErrorMessage="1" promptTitle="Internationale Standaard" prompt="NEN 6414:2008&#10;Temperatuur van gebied " errorTitle="Niet conform ISO 7888-1985" error="ISO 7888-1985&#10;Minimale bereik tenminste 25°C" sqref="F32">
      <formula1>25</formula1>
    </dataValidation>
    <dataValidation type="list" allowBlank="1" showInputMessage="1" showErrorMessage="1" promptTitle="Hoedanigheid" prompt="Keuzemenu" sqref="B11">
      <formula1>$M$6:$M$8</formula1>
    </dataValidation>
    <dataValidation type="list" allowBlank="1" showInputMessage="1" showErrorMessage="1" promptTitle="Multiprobe in gebruik" prompt="Keuzemenu" sqref="B24">
      <formula1>$M$11:$M$12</formula1>
    </dataValidation>
    <dataValidation type="list" allowBlank="1" showInputMessage="1" showErrorMessage="1" promptTitle="Kalibratieconstante in lichtcel" prompt="Keuzemenu" sqref="B22:B23">
      <formula1>$M$11:$M$12</formula1>
    </dataValidation>
    <dataValidation type="list" allowBlank="1" showInputMessage="1" showErrorMessage="1" promptTitle="ºC of %" prompt="Bij aanduiding in % omgerekend naar 25 ºC" sqref="H32">
      <formula1>$M$1:$M$3</formula1>
    </dataValidation>
    <dataValidation type="list" allowBlank="1" showInputMessage="1" showErrorMessage="1" promptTitle="ºC of %" prompt="Dezelfde eenheid aanhouden als de Randvoorwaarden.&#10;Indien de randvoorwaarden in ºC  en specificatie is % of anders dan omrekenen naar 25 ºC (norm en ongeveer de maximale waarde voor oppervlakte wateren in Nederland)." sqref="H26">
      <formula1>$M$1:$M$3</formula1>
    </dataValidation>
    <dataValidation type="list" allowBlank="1" showInputMessage="1" showErrorMessage="1" promptTitle="% of ºC" prompt="Keuzemenu&#10;" sqref="H10">
      <formula1>$M$1:$M$2</formula1>
    </dataValidation>
    <dataValidation errorStyle="warning" type="decimal" operator="lessThanOrEqual" allowBlank="1" showInputMessage="1" showErrorMessage="1" promptTitle="Internationale Standaard" prompt="NEN 6414:2008&#10;Minimale resolutie 0,1°C&#10;" errorTitle="Niet conform Internat. Standaard" error="NEN 6414:2008&#10;NEN-ISO 10523:2008&#10;ISO 5814:1990&#10;ISO 7888:1985&#10;Resolutie tenminste 0,1" sqref="D10 D26">
      <formula1>0.1</formula1>
    </dataValidation>
    <dataValidation errorStyle="warning" type="decimal" operator="lessThanOrEqual" allowBlank="1" showInputMessage="1" showErrorMessage="1" promptTitle="Internationale Standaard" prompt="NEN-EN-ISO 10523:2012&#10;Minimale resolutie 0,01" errorTitle="Niet conform NEN-ISO 10523:2008" error="NEN-ISO 10523:2008&#10;Resolutie tenminste 0,01" sqref="D12">
      <formula1>0.01</formula1>
    </dataValidation>
    <dataValidation errorStyle="warning" type="decimal" operator="lessThanOrEqual" allowBlank="1" showInputMessage="1" showErrorMessage="1" promptTitle="Internationale Standaard" prompt="NEN-EN-ISO 5814:2012&#10;Minimale resolutie 0,1 mg/l" errorTitle="Niet conform ISO 5814:1990" error="ISO 5814:1990&#10;Resolutie tenminste 0,1 mg/l" sqref="D14">
      <formula1>0.1</formula1>
    </dataValidation>
    <dataValidation errorStyle="warning" type="decimal" operator="greaterThanOrEqual" allowBlank="1" showInputMessage="1" showErrorMessage="1" promptTitle="Internationale Standaard" prompt="NEN 6414:2008&#10;Temperatuur van gebied " errorTitle="Niet conform ISO 7888-1985" error="ISO 7888-1985&#10;Minimale bereik tenminste 25°C" sqref="F10 F26">
      <formula1>25</formula1>
    </dataValidation>
    <dataValidation allowBlank="1" showInputMessage="1" showErrorMessage="1" promptTitle="Internationale Standaard" prompt="NEN-EN-ISO 10523:2012&#10;bereik van 2 - 12" sqref="F12"/>
    <dataValidation errorStyle="warning" type="decimal" operator="lessThanOrEqual" allowBlank="1" showInputMessage="1" showErrorMessage="1" promptTitle="Internationale Standaard" prompt="NEN 6414:2008&#10;Nauwkeurigheid 0,5 °C" errorTitle="Niet conform Internat. Standaard" error="NEN 6414:2008&#10;NEN-ISO 10523:2008&#10;ISO 5814:1990&#10;ISO 7888:1985&#10;Nauwkeurigheid tenminste 0,5 °C." sqref="G10 G26">
      <formula1>0.5</formula1>
    </dataValidation>
    <dataValidation errorStyle="warning" type="decimal" operator="lessThanOrEqual" allowBlank="1" showInputMessage="1" showErrorMessage="1" promptTitle="Internationale Standaard" prompt="NEN-EN-ISO 10523:2012&#10;Nauwkeurigheid 0,03" errorTitle="Niet conform NEN-ISO 10523:2008" error="Nauwkeurigheid tenminste 0,03" sqref="G12">
      <formula1>0.03</formula1>
    </dataValidation>
    <dataValidation allowBlank="1" showInputMessage="1" showErrorMessage="1" promptTitle="Internationale Standaard" prompt="NEN-EN-ISO 10523:2012&#10;bereik van 2 - 12" sqref="F28"/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G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16.57421875" style="283" customWidth="1"/>
    <col min="2" max="2" width="30.7109375" style="283" bestFit="1" customWidth="1"/>
    <col min="3" max="3" width="15.00390625" style="284" customWidth="1"/>
    <col min="4" max="4" width="17.7109375" style="283" customWidth="1"/>
    <col min="5" max="5" width="41.421875" style="283" customWidth="1"/>
    <col min="6" max="6" width="9.140625" style="277" customWidth="1"/>
    <col min="7" max="7" width="32.8515625" style="277" hidden="1" customWidth="1"/>
    <col min="8" max="16384" width="9.140625" style="277" customWidth="1"/>
  </cols>
  <sheetData>
    <row r="1" spans="1:5" ht="36" customHeight="1">
      <c r="A1" s="285" t="s">
        <v>143</v>
      </c>
      <c r="B1" s="286"/>
      <c r="C1" s="287"/>
      <c r="D1" s="286"/>
      <c r="E1" s="288"/>
    </row>
    <row r="2" spans="1:7" ht="21.75" thickBot="1">
      <c r="A2" s="289" t="s">
        <v>131</v>
      </c>
      <c r="B2" s="290" t="s">
        <v>108</v>
      </c>
      <c r="C2" s="291" t="s">
        <v>13</v>
      </c>
      <c r="D2" s="290" t="s">
        <v>112</v>
      </c>
      <c r="E2" s="292" t="s">
        <v>109</v>
      </c>
      <c r="G2" s="278" t="s">
        <v>92</v>
      </c>
    </row>
    <row r="3" spans="1:7" ht="12.75" hidden="1">
      <c r="A3" s="293"/>
      <c r="B3" s="279"/>
      <c r="C3" s="279"/>
      <c r="D3" s="279"/>
      <c r="E3" s="294"/>
      <c r="G3" s="278" t="s">
        <v>66</v>
      </c>
    </row>
    <row r="4" spans="1:7" ht="12.75">
      <c r="A4" s="293">
        <v>43831</v>
      </c>
      <c r="B4" s="279" t="s">
        <v>92</v>
      </c>
      <c r="C4" s="279">
        <v>78643</v>
      </c>
      <c r="D4" s="279">
        <v>28588</v>
      </c>
      <c r="E4" s="294"/>
      <c r="G4" s="278" t="s">
        <v>114</v>
      </c>
    </row>
    <row r="5" spans="1:7" ht="12.75">
      <c r="A5" s="293">
        <v>43831</v>
      </c>
      <c r="B5" s="279" t="s">
        <v>66</v>
      </c>
      <c r="C5" s="279">
        <v>78643</v>
      </c>
      <c r="D5" s="279">
        <v>28588</v>
      </c>
      <c r="E5" s="294"/>
      <c r="G5" s="278" t="s">
        <v>1</v>
      </c>
    </row>
    <row r="6" spans="1:7" ht="12.75">
      <c r="A6" s="293">
        <v>43831</v>
      </c>
      <c r="B6" s="279" t="s">
        <v>114</v>
      </c>
      <c r="C6" s="279" t="s">
        <v>118</v>
      </c>
      <c r="D6" s="279">
        <v>29387</v>
      </c>
      <c r="E6" s="294"/>
      <c r="G6" s="278" t="s">
        <v>115</v>
      </c>
    </row>
    <row r="7" spans="1:7" ht="12.75">
      <c r="A7" s="293">
        <v>43831</v>
      </c>
      <c r="B7" s="279" t="s">
        <v>39</v>
      </c>
      <c r="C7" s="279" t="s">
        <v>121</v>
      </c>
      <c r="D7" s="279">
        <v>19232</v>
      </c>
      <c r="E7" s="294"/>
      <c r="G7" s="278" t="s">
        <v>5</v>
      </c>
    </row>
    <row r="8" spans="1:7" ht="12.75">
      <c r="A8" s="293">
        <v>43831</v>
      </c>
      <c r="B8" s="279" t="s">
        <v>104</v>
      </c>
      <c r="C8" s="279">
        <v>54322</v>
      </c>
      <c r="D8" s="279">
        <v>34987</v>
      </c>
      <c r="E8" s="294"/>
      <c r="G8" s="278" t="s">
        <v>39</v>
      </c>
    </row>
    <row r="9" spans="1:7" ht="12.75">
      <c r="A9" s="293">
        <v>43831</v>
      </c>
      <c r="B9" s="279" t="s">
        <v>116</v>
      </c>
      <c r="C9" s="279">
        <v>90101779</v>
      </c>
      <c r="D9" s="279">
        <v>28539</v>
      </c>
      <c r="E9" s="294"/>
      <c r="G9" s="278" t="s">
        <v>104</v>
      </c>
    </row>
    <row r="10" spans="1:7" ht="12.75">
      <c r="A10" s="293">
        <v>43831</v>
      </c>
      <c r="B10" s="279" t="s">
        <v>130</v>
      </c>
      <c r="C10" s="279" t="s">
        <v>119</v>
      </c>
      <c r="D10" s="279">
        <v>28560</v>
      </c>
      <c r="E10" s="294"/>
      <c r="G10" s="278" t="s">
        <v>116</v>
      </c>
    </row>
    <row r="11" spans="1:7" ht="12.75">
      <c r="A11" s="293">
        <v>43831</v>
      </c>
      <c r="B11" s="279" t="s">
        <v>117</v>
      </c>
      <c r="C11" s="279" t="s">
        <v>120</v>
      </c>
      <c r="D11" s="279">
        <v>30533</v>
      </c>
      <c r="E11" s="294"/>
      <c r="G11" s="278" t="s">
        <v>130</v>
      </c>
    </row>
    <row r="12" spans="1:7" ht="12.75">
      <c r="A12" s="293">
        <v>43831</v>
      </c>
      <c r="B12" s="279" t="s">
        <v>105</v>
      </c>
      <c r="C12" s="279" t="s">
        <v>125</v>
      </c>
      <c r="D12" s="279">
        <v>67294</v>
      </c>
      <c r="E12" s="294"/>
      <c r="G12" s="278" t="s">
        <v>117</v>
      </c>
    </row>
    <row r="13" spans="1:7" ht="12.75">
      <c r="A13" s="293">
        <v>43831</v>
      </c>
      <c r="B13" s="279" t="s">
        <v>113</v>
      </c>
      <c r="C13" s="279" t="s">
        <v>126</v>
      </c>
      <c r="D13" s="279">
        <v>34984</v>
      </c>
      <c r="E13" s="294"/>
      <c r="G13" s="278" t="s">
        <v>129</v>
      </c>
    </row>
    <row r="14" spans="1:7" ht="12.75">
      <c r="A14" s="293">
        <v>44321</v>
      </c>
      <c r="B14" s="279" t="s">
        <v>92</v>
      </c>
      <c r="C14" s="279">
        <v>7665432111</v>
      </c>
      <c r="D14" s="279">
        <v>96593</v>
      </c>
      <c r="E14" s="294"/>
      <c r="G14" s="278" t="s">
        <v>105</v>
      </c>
    </row>
    <row r="15" spans="1:7" ht="12.75">
      <c r="A15" s="293">
        <v>44321</v>
      </c>
      <c r="B15" s="279" t="s">
        <v>66</v>
      </c>
      <c r="C15" s="279">
        <v>655432</v>
      </c>
      <c r="D15" s="279">
        <v>59376</v>
      </c>
      <c r="E15" s="294"/>
      <c r="G15" s="278" t="s">
        <v>113</v>
      </c>
    </row>
    <row r="16" spans="1:7" ht="12.75">
      <c r="A16" s="293">
        <v>44321</v>
      </c>
      <c r="B16" s="279" t="s">
        <v>114</v>
      </c>
      <c r="C16" s="279" t="s">
        <v>124</v>
      </c>
      <c r="D16" s="279">
        <v>39863</v>
      </c>
      <c r="E16" s="294"/>
      <c r="G16" s="278" t="s">
        <v>110</v>
      </c>
    </row>
    <row r="17" spans="1:7" ht="12.75">
      <c r="A17" s="293">
        <v>44321</v>
      </c>
      <c r="B17" s="279" t="s">
        <v>39</v>
      </c>
      <c r="C17" s="279">
        <v>789906</v>
      </c>
      <c r="D17" s="279">
        <v>28958</v>
      </c>
      <c r="E17" s="294"/>
      <c r="G17" s="278" t="s">
        <v>111</v>
      </c>
    </row>
    <row r="18" spans="1:7" ht="12.75">
      <c r="A18" s="293">
        <v>44321</v>
      </c>
      <c r="B18" s="279" t="s">
        <v>104</v>
      </c>
      <c r="C18" s="279">
        <v>765321</v>
      </c>
      <c r="D18" s="279">
        <v>39087</v>
      </c>
      <c r="E18" s="294"/>
      <c r="G18" s="280"/>
    </row>
    <row r="19" spans="1:7" ht="12.75">
      <c r="A19" s="293">
        <v>44321</v>
      </c>
      <c r="B19" s="279" t="s">
        <v>116</v>
      </c>
      <c r="C19" s="279" t="s">
        <v>122</v>
      </c>
      <c r="D19" s="279">
        <v>19284</v>
      </c>
      <c r="E19" s="294"/>
      <c r="G19" s="281">
        <f ca="1">NOW()</f>
        <v>44664.52459375</v>
      </c>
    </row>
    <row r="20" spans="1:7" ht="12.75">
      <c r="A20" s="293">
        <v>44321</v>
      </c>
      <c r="B20" s="279" t="s">
        <v>130</v>
      </c>
      <c r="C20" s="279" t="s">
        <v>123</v>
      </c>
      <c r="D20" s="279">
        <v>31319</v>
      </c>
      <c r="E20" s="294"/>
      <c r="G20" s="280"/>
    </row>
    <row r="21" spans="1:7" ht="12.75">
      <c r="A21" s="293">
        <v>44321</v>
      </c>
      <c r="B21" s="279" t="s">
        <v>117</v>
      </c>
      <c r="C21" s="279">
        <v>89900</v>
      </c>
      <c r="D21" s="279">
        <v>39876</v>
      </c>
      <c r="E21" s="294"/>
      <c r="G21" s="280"/>
    </row>
    <row r="22" spans="1:7" ht="12.75">
      <c r="A22" s="293">
        <v>44321</v>
      </c>
      <c r="B22" s="279" t="s">
        <v>105</v>
      </c>
      <c r="C22" s="279" t="s">
        <v>127</v>
      </c>
      <c r="D22" s="279">
        <v>89000</v>
      </c>
      <c r="E22" s="294"/>
      <c r="G22" s="282"/>
    </row>
    <row r="23" spans="1:7" ht="12.75">
      <c r="A23" s="293">
        <v>44321</v>
      </c>
      <c r="B23" s="279" t="s">
        <v>113</v>
      </c>
      <c r="C23" s="279" t="s">
        <v>128</v>
      </c>
      <c r="D23" s="279">
        <v>13499</v>
      </c>
      <c r="E23" s="294"/>
      <c r="G23" s="282"/>
    </row>
    <row r="24" spans="1:7" ht="12.75">
      <c r="A24" s="293">
        <v>44409</v>
      </c>
      <c r="B24" s="279" t="s">
        <v>39</v>
      </c>
      <c r="C24" s="279" t="s">
        <v>132</v>
      </c>
      <c r="D24" s="279">
        <v>56784</v>
      </c>
      <c r="E24" s="294" t="s">
        <v>133</v>
      </c>
      <c r="G24" s="282"/>
    </row>
    <row r="25" spans="1:5" ht="12.75">
      <c r="A25" s="293"/>
      <c r="B25" s="279"/>
      <c r="C25" s="279"/>
      <c r="D25" s="279"/>
      <c r="E25" s="294"/>
    </row>
  </sheetData>
  <sheetProtection sheet="1" objects="1" scenarios="1"/>
  <conditionalFormatting sqref="A3">
    <cfRule type="expression" priority="298" dxfId="207">
      <formula>ISBLANK($A3)</formula>
    </cfRule>
    <cfRule type="expression" priority="299" dxfId="153">
      <formula>$A3&gt;($G$19-365)</formula>
    </cfRule>
    <cfRule type="expression" priority="300" dxfId="205">
      <formula>$A3&lt;($G$19-365)</formula>
    </cfRule>
  </conditionalFormatting>
  <conditionalFormatting sqref="A4:A24">
    <cfRule type="expression" priority="7" dxfId="207">
      <formula>ISBLANK($A4)</formula>
    </cfRule>
    <cfRule type="expression" priority="8" dxfId="153">
      <formula>$A4&gt;($G$19-365)</formula>
    </cfRule>
    <cfRule type="expression" priority="9" dxfId="205">
      <formula>$A4&lt;($G$19-365)</formula>
    </cfRule>
  </conditionalFormatting>
  <conditionalFormatting sqref="A25">
    <cfRule type="expression" priority="1" dxfId="207">
      <formula>ISBLANK($A25)</formula>
    </cfRule>
    <cfRule type="expression" priority="2" dxfId="153">
      <formula>$A25&gt;($G$19-365)</formula>
    </cfRule>
    <cfRule type="expression" priority="3" dxfId="205">
      <formula>$A25&lt;($G$19-365)</formula>
    </cfRule>
  </conditionalFormatting>
  <dataValidations count="2">
    <dataValidation type="list" allowBlank="1" showInputMessage="1" showErrorMessage="1" promptTitle="Keuzemenu" prompt="Apparaat of sensor" sqref="B3:B25">
      <formula1>$G$2:$G$17</formula1>
    </dataValidation>
    <dataValidation allowBlank="1" showInputMessage="1" showErrorMessage="1" promptTitle="Jaarlijks onderhoud" prompt="rood = datum &gt; 1 jaar - terug naar leverancier voor onderhoud&#10;groen = datum &lt; 1 jaar - goed" sqref="A3:A25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J4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1" max="1" width="9.140625" style="276" customWidth="1"/>
    <col min="2" max="2" width="13.00390625" style="276" customWidth="1"/>
    <col min="3" max="5" width="9.140625" style="276" customWidth="1"/>
    <col min="6" max="6" width="13.00390625" style="276" customWidth="1"/>
    <col min="7" max="9" width="9.140625" style="276" customWidth="1"/>
    <col min="10" max="10" width="9.140625" style="276" hidden="1" customWidth="1"/>
    <col min="11" max="16384" width="9.140625" style="276" customWidth="1"/>
  </cols>
  <sheetData>
    <row r="1" spans="1:9" ht="12.75">
      <c r="A1" s="145" t="s">
        <v>40</v>
      </c>
      <c r="B1" s="146"/>
      <c r="C1" s="146"/>
      <c r="D1" s="204"/>
      <c r="E1" s="147"/>
      <c r="F1" s="147"/>
      <c r="G1" s="148"/>
      <c r="H1" s="209"/>
      <c r="I1" s="12"/>
    </row>
    <row r="2" spans="1:10" ht="12.75">
      <c r="A2" s="150"/>
      <c r="B2" s="136"/>
      <c r="C2" s="136"/>
      <c r="D2" s="205"/>
      <c r="E2" s="151"/>
      <c r="F2" s="151"/>
      <c r="G2" s="134"/>
      <c r="H2" s="210"/>
      <c r="I2" s="58"/>
      <c r="J2" s="149" t="s">
        <v>29</v>
      </c>
    </row>
    <row r="3" spans="1:10" ht="21">
      <c r="A3" s="86" t="s">
        <v>83</v>
      </c>
      <c r="B3" s="295" t="s">
        <v>85</v>
      </c>
      <c r="C3" s="136"/>
      <c r="D3" s="205"/>
      <c r="E3" s="151"/>
      <c r="F3" s="151"/>
      <c r="G3" s="134"/>
      <c r="H3" s="210"/>
      <c r="I3" s="58"/>
      <c r="J3" s="152" t="s">
        <v>30</v>
      </c>
    </row>
    <row r="4" spans="1:10" ht="13.5" thickBot="1">
      <c r="A4" s="162"/>
      <c r="B4" s="163"/>
      <c r="C4" s="163"/>
      <c r="D4" s="206"/>
      <c r="E4" s="164"/>
      <c r="F4" s="164"/>
      <c r="G4" s="164"/>
      <c r="H4" s="211"/>
      <c r="I4" s="107"/>
      <c r="J4" s="152" t="s">
        <v>139</v>
      </c>
    </row>
    <row r="5" spans="1:10" ht="12.75">
      <c r="A5" s="154" t="s">
        <v>12</v>
      </c>
      <c r="B5" s="193" t="s">
        <v>86</v>
      </c>
      <c r="C5" s="192"/>
      <c r="D5" s="207"/>
      <c r="E5" s="155"/>
      <c r="F5" s="193" t="s">
        <v>87</v>
      </c>
      <c r="G5" s="147"/>
      <c r="H5" s="212"/>
      <c r="I5" s="156"/>
      <c r="J5" s="152"/>
    </row>
    <row r="6" spans="1:10" ht="12.75">
      <c r="A6" s="269"/>
      <c r="B6" s="13"/>
      <c r="C6" s="270"/>
      <c r="D6" s="271"/>
      <c r="E6" s="272"/>
      <c r="F6" s="153"/>
      <c r="G6" s="151"/>
      <c r="H6" s="273"/>
      <c r="I6" s="274"/>
      <c r="J6" s="149" t="s">
        <v>135</v>
      </c>
    </row>
    <row r="7" spans="1:10" ht="12.75">
      <c r="A7" s="269"/>
      <c r="B7" s="13" t="s">
        <v>53</v>
      </c>
      <c r="C7" s="270"/>
      <c r="D7" s="296" t="s">
        <v>136</v>
      </c>
      <c r="E7" s="272"/>
      <c r="F7" s="13" t="s">
        <v>53</v>
      </c>
      <c r="G7" s="270"/>
      <c r="H7" s="296" t="s">
        <v>135</v>
      </c>
      <c r="I7" s="274"/>
      <c r="J7" s="149" t="s">
        <v>136</v>
      </c>
    </row>
    <row r="8" spans="1:10" ht="12.75">
      <c r="A8" s="269"/>
      <c r="B8" s="13" t="s">
        <v>137</v>
      </c>
      <c r="C8" s="270"/>
      <c r="D8" s="296" t="s">
        <v>138</v>
      </c>
      <c r="E8" s="272"/>
      <c r="F8" s="13" t="s">
        <v>137</v>
      </c>
      <c r="G8" s="270"/>
      <c r="H8" s="296" t="s">
        <v>107</v>
      </c>
      <c r="I8" s="274"/>
      <c r="J8" s="149"/>
    </row>
    <row r="9" spans="1:10" ht="12.75">
      <c r="A9" s="269"/>
      <c r="B9" s="13"/>
      <c r="C9" s="270"/>
      <c r="D9" s="271"/>
      <c r="E9" s="272"/>
      <c r="F9" s="153"/>
      <c r="G9" s="151"/>
      <c r="H9" s="273"/>
      <c r="I9" s="274"/>
      <c r="J9" s="149" t="s">
        <v>84</v>
      </c>
    </row>
    <row r="10" spans="1:10" ht="13.5" thickBot="1">
      <c r="A10" s="157"/>
      <c r="B10" s="159" t="s">
        <v>0</v>
      </c>
      <c r="C10" s="158" t="s">
        <v>33</v>
      </c>
      <c r="D10" s="194" t="s">
        <v>34</v>
      </c>
      <c r="E10" s="158" t="s">
        <v>35</v>
      </c>
      <c r="F10" s="159" t="s">
        <v>0</v>
      </c>
      <c r="G10" s="158" t="s">
        <v>33</v>
      </c>
      <c r="H10" s="194" t="s">
        <v>34</v>
      </c>
      <c r="I10" s="196" t="s">
        <v>35</v>
      </c>
      <c r="J10" s="149" t="s">
        <v>85</v>
      </c>
    </row>
    <row r="11" spans="1:10" ht="13.5" hidden="1" thickBot="1">
      <c r="A11" s="160" t="s">
        <v>42</v>
      </c>
      <c r="B11" s="161"/>
      <c r="C11" s="221"/>
      <c r="D11" s="208"/>
      <c r="E11" s="165"/>
      <c r="F11" s="161"/>
      <c r="G11" s="275"/>
      <c r="H11" s="208"/>
      <c r="I11" s="165"/>
      <c r="J11" s="149"/>
    </row>
    <row r="12" spans="1:10" ht="13.5" thickBot="1">
      <c r="A12" s="160" t="s">
        <v>42</v>
      </c>
      <c r="B12" s="161">
        <v>43831</v>
      </c>
      <c r="C12" s="221" t="s">
        <v>125</v>
      </c>
      <c r="D12" s="208">
        <v>-234</v>
      </c>
      <c r="E12" s="165" t="s">
        <v>139</v>
      </c>
      <c r="F12" s="161">
        <v>43831</v>
      </c>
      <c r="G12" s="275" t="s">
        <v>126</v>
      </c>
      <c r="H12" s="208">
        <v>-432</v>
      </c>
      <c r="I12" s="165" t="s">
        <v>29</v>
      </c>
      <c r="J12" s="149"/>
    </row>
    <row r="13" spans="1:10" ht="13.5" thickBot="1">
      <c r="A13" s="160" t="s">
        <v>42</v>
      </c>
      <c r="B13" s="161">
        <v>44317</v>
      </c>
      <c r="C13" s="221" t="s">
        <v>127</v>
      </c>
      <c r="D13" s="208">
        <v>-342.7</v>
      </c>
      <c r="E13" s="165" t="s">
        <v>139</v>
      </c>
      <c r="F13" s="161">
        <v>44317</v>
      </c>
      <c r="G13" s="221" t="s">
        <v>128</v>
      </c>
      <c r="H13" s="208">
        <v>-453</v>
      </c>
      <c r="I13" s="165" t="s">
        <v>30</v>
      </c>
      <c r="J13" s="149" t="s">
        <v>88</v>
      </c>
    </row>
    <row r="14" spans="1:10" ht="13.5" thickBot="1">
      <c r="A14" s="160" t="s">
        <v>42</v>
      </c>
      <c r="B14" s="161"/>
      <c r="C14" s="221"/>
      <c r="D14" s="208"/>
      <c r="E14" s="165"/>
      <c r="F14" s="161"/>
      <c r="G14" s="221"/>
      <c r="H14" s="208"/>
      <c r="I14" s="165"/>
      <c r="J14" s="149" t="s">
        <v>89</v>
      </c>
    </row>
    <row r="15" spans="1:10" ht="13.5" thickBot="1">
      <c r="A15" s="160" t="s">
        <v>42</v>
      </c>
      <c r="B15" s="161"/>
      <c r="C15" s="221"/>
      <c r="D15" s="208"/>
      <c r="E15" s="165"/>
      <c r="F15" s="161"/>
      <c r="G15" s="221"/>
      <c r="H15" s="208"/>
      <c r="I15" s="165"/>
      <c r="J15" s="149" t="s">
        <v>138</v>
      </c>
    </row>
    <row r="16" spans="1:10" ht="13.5" thickBot="1">
      <c r="A16" s="160" t="s">
        <v>42</v>
      </c>
      <c r="B16" s="161"/>
      <c r="C16" s="221"/>
      <c r="D16" s="208"/>
      <c r="E16" s="165"/>
      <c r="F16" s="161"/>
      <c r="G16" s="221"/>
      <c r="H16" s="208"/>
      <c r="I16" s="165"/>
      <c r="J16" s="149" t="s">
        <v>107</v>
      </c>
    </row>
    <row r="17" spans="1:10" ht="13.5" thickBot="1">
      <c r="A17" s="160" t="s">
        <v>42</v>
      </c>
      <c r="B17" s="161"/>
      <c r="C17" s="221"/>
      <c r="D17" s="208"/>
      <c r="E17" s="165"/>
      <c r="F17" s="161"/>
      <c r="G17" s="221"/>
      <c r="H17" s="208"/>
      <c r="I17" s="165"/>
      <c r="J17" s="149"/>
    </row>
    <row r="18" spans="1:10" ht="13.5" thickBot="1">
      <c r="A18" s="160" t="s">
        <v>42</v>
      </c>
      <c r="B18" s="161"/>
      <c r="C18" s="221"/>
      <c r="D18" s="208"/>
      <c r="E18" s="165"/>
      <c r="F18" s="161"/>
      <c r="G18" s="267"/>
      <c r="H18" s="208"/>
      <c r="I18" s="165"/>
      <c r="J18" s="149"/>
    </row>
    <row r="19" spans="1:10" ht="13.5" thickBot="1">
      <c r="A19" s="160" t="s">
        <v>42</v>
      </c>
      <c r="B19" s="161"/>
      <c r="C19" s="221"/>
      <c r="D19" s="208"/>
      <c r="E19" s="165"/>
      <c r="F19" s="161"/>
      <c r="G19" s="275"/>
      <c r="H19" s="208"/>
      <c r="I19" s="165"/>
      <c r="J19" s="149"/>
    </row>
    <row r="20" spans="1:10" ht="13.5" thickBot="1">
      <c r="A20" s="160" t="s">
        <v>42</v>
      </c>
      <c r="B20" s="161"/>
      <c r="C20" s="221"/>
      <c r="D20" s="208"/>
      <c r="E20" s="165"/>
      <c r="F20" s="161"/>
      <c r="G20" s="275"/>
      <c r="H20" s="208"/>
      <c r="I20" s="165"/>
      <c r="J20" s="149"/>
    </row>
    <row r="21" spans="1:10" ht="13.5" thickBot="1">
      <c r="A21" s="160" t="s">
        <v>42</v>
      </c>
      <c r="B21" s="161"/>
      <c r="C21" s="221"/>
      <c r="D21" s="208"/>
      <c r="E21" s="165"/>
      <c r="F21" s="161"/>
      <c r="G21" s="275"/>
      <c r="H21" s="208"/>
      <c r="I21" s="165"/>
      <c r="J21" s="149"/>
    </row>
    <row r="22" ht="12.75">
      <c r="J22" s="149"/>
    </row>
    <row r="23" ht="12.75">
      <c r="J23" s="149"/>
    </row>
    <row r="24" ht="12.75">
      <c r="J24" s="149"/>
    </row>
    <row r="25" ht="12.75">
      <c r="J25" s="149"/>
    </row>
    <row r="26" ht="12.75">
      <c r="J26" s="149"/>
    </row>
    <row r="27" ht="12.75">
      <c r="J27" s="53"/>
    </row>
    <row r="28" ht="12.75">
      <c r="J28" s="53"/>
    </row>
    <row r="29" ht="12.75">
      <c r="J29" s="53"/>
    </row>
    <row r="30" ht="12.75">
      <c r="J30" s="53"/>
    </row>
    <row r="31" ht="12.75">
      <c r="J31" s="53"/>
    </row>
    <row r="32" ht="12.75">
      <c r="J32" s="266"/>
    </row>
    <row r="33" ht="12.75">
      <c r="J33" s="266"/>
    </row>
    <row r="34" ht="12.75">
      <c r="J34" s="266"/>
    </row>
    <row r="35" ht="12.75">
      <c r="J35" s="266"/>
    </row>
    <row r="36" ht="12.75">
      <c r="J36" s="266"/>
    </row>
    <row r="37" ht="12.75">
      <c r="J37" s="19"/>
    </row>
    <row r="38" ht="12.75">
      <c r="J38" s="19"/>
    </row>
    <row r="39" ht="12.75">
      <c r="J39" s="19"/>
    </row>
    <row r="40" ht="12.75">
      <c r="J40" s="19"/>
    </row>
    <row r="41" ht="12.75">
      <c r="J41" s="19"/>
    </row>
    <row r="42" ht="12.75">
      <c r="J42" s="19"/>
    </row>
    <row r="43" ht="12.75">
      <c r="J43" s="19"/>
    </row>
    <row r="44" ht="12.75">
      <c r="J44" s="19"/>
    </row>
  </sheetData>
  <sheetProtection sheet="1" objects="1" scenarios="1"/>
  <conditionalFormatting sqref="E11 I11">
    <cfRule type="expression" priority="71" dxfId="14" stopIfTrue="1">
      <formula>ISBLANK(E11)</formula>
    </cfRule>
    <cfRule type="expression" priority="84" dxfId="1" stopIfTrue="1">
      <formula>E11="ja"</formula>
    </cfRule>
    <cfRule type="expression" priority="85" dxfId="0" stopIfTrue="1">
      <formula>E11="nee"</formula>
    </cfRule>
  </conditionalFormatting>
  <conditionalFormatting sqref="E11">
    <cfRule type="expression" priority="86" dxfId="153">
      <formula>E11="in sensor"</formula>
    </cfRule>
  </conditionalFormatting>
  <conditionalFormatting sqref="I11">
    <cfRule type="expression" priority="66" dxfId="153">
      <formula>I11="in sensor"</formula>
    </cfRule>
  </conditionalFormatting>
  <conditionalFormatting sqref="I11">
    <cfRule type="expression" priority="57" dxfId="153">
      <formula>I11="in sensor"</formula>
    </cfRule>
  </conditionalFormatting>
  <conditionalFormatting sqref="I21">
    <cfRule type="expression" priority="1" dxfId="153">
      <formula>I21="in sensor"</formula>
    </cfRule>
  </conditionalFormatting>
  <conditionalFormatting sqref="I11">
    <cfRule type="expression" priority="56" dxfId="153">
      <formula>I11="in sensor"</formula>
    </cfRule>
  </conditionalFormatting>
  <conditionalFormatting sqref="I20">
    <cfRule type="expression" priority="10" dxfId="153">
      <formula>I20="in sensor"</formula>
    </cfRule>
  </conditionalFormatting>
  <conditionalFormatting sqref="E21">
    <cfRule type="expression" priority="7" dxfId="153">
      <formula>E21="in sensor"</formula>
    </cfRule>
  </conditionalFormatting>
  <conditionalFormatting sqref="E12:E17">
    <cfRule type="expression" priority="42" dxfId="14" stopIfTrue="1">
      <formula>ISBLANK(E12)</formula>
    </cfRule>
    <cfRule type="expression" priority="43" dxfId="1" stopIfTrue="1">
      <formula>E12="ja"</formula>
    </cfRule>
    <cfRule type="expression" priority="44" dxfId="0" stopIfTrue="1">
      <formula>E12="nee"</formula>
    </cfRule>
  </conditionalFormatting>
  <conditionalFormatting sqref="E12:E17">
    <cfRule type="expression" priority="45" dxfId="153">
      <formula>E12="in sensor"</formula>
    </cfRule>
  </conditionalFormatting>
  <conditionalFormatting sqref="I12:I17">
    <cfRule type="expression" priority="39" dxfId="14" stopIfTrue="1">
      <formula>ISBLANK(I12)</formula>
    </cfRule>
    <cfRule type="expression" priority="40" dxfId="1" stopIfTrue="1">
      <formula>I12="ja"</formula>
    </cfRule>
    <cfRule type="expression" priority="41" dxfId="0" stopIfTrue="1">
      <formula>I12="nee"</formula>
    </cfRule>
  </conditionalFormatting>
  <conditionalFormatting sqref="I12:I17">
    <cfRule type="expression" priority="38" dxfId="153">
      <formula>I12="in sensor"</formula>
    </cfRule>
  </conditionalFormatting>
  <conditionalFormatting sqref="I12:I17">
    <cfRule type="expression" priority="37" dxfId="153">
      <formula>I12="in sensor"</formula>
    </cfRule>
  </conditionalFormatting>
  <conditionalFormatting sqref="I12:I17">
    <cfRule type="expression" priority="36" dxfId="153">
      <formula>I12="in sensor"</formula>
    </cfRule>
  </conditionalFormatting>
  <conditionalFormatting sqref="E12 I12">
    <cfRule type="expression" priority="32" dxfId="14" stopIfTrue="1">
      <formula>ISBLANK(E12)</formula>
    </cfRule>
    <cfRule type="expression" priority="33" dxfId="1" stopIfTrue="1">
      <formula>E12="ja"</formula>
    </cfRule>
    <cfRule type="expression" priority="34" dxfId="0" stopIfTrue="1">
      <formula>E12="nee"</formula>
    </cfRule>
  </conditionalFormatting>
  <conditionalFormatting sqref="E12">
    <cfRule type="expression" priority="35" dxfId="153">
      <formula>E12="in sensor"</formula>
    </cfRule>
  </conditionalFormatting>
  <conditionalFormatting sqref="I12">
    <cfRule type="expression" priority="31" dxfId="153">
      <formula>I12="in sensor"</formula>
    </cfRule>
  </conditionalFormatting>
  <conditionalFormatting sqref="I12">
    <cfRule type="expression" priority="30" dxfId="153">
      <formula>I12="in sensor"</formula>
    </cfRule>
  </conditionalFormatting>
  <conditionalFormatting sqref="I12">
    <cfRule type="expression" priority="29" dxfId="153">
      <formula>I12="in sensor"</formula>
    </cfRule>
  </conditionalFormatting>
  <conditionalFormatting sqref="E18 I18">
    <cfRule type="expression" priority="25" dxfId="14" stopIfTrue="1">
      <formula>ISBLANK(E18)</formula>
    </cfRule>
    <cfRule type="expression" priority="26" dxfId="1" stopIfTrue="1">
      <formula>E18="ja"</formula>
    </cfRule>
    <cfRule type="expression" priority="27" dxfId="0" stopIfTrue="1">
      <formula>E18="nee"</formula>
    </cfRule>
  </conditionalFormatting>
  <conditionalFormatting sqref="E18">
    <cfRule type="expression" priority="28" dxfId="153">
      <formula>E18="in sensor"</formula>
    </cfRule>
  </conditionalFormatting>
  <conditionalFormatting sqref="I18">
    <cfRule type="expression" priority="24" dxfId="153">
      <formula>I18="in sensor"</formula>
    </cfRule>
  </conditionalFormatting>
  <conditionalFormatting sqref="I18">
    <cfRule type="expression" priority="23" dxfId="153">
      <formula>I18="in sensor"</formula>
    </cfRule>
  </conditionalFormatting>
  <conditionalFormatting sqref="I18">
    <cfRule type="expression" priority="22" dxfId="153">
      <formula>I18="in sensor"</formula>
    </cfRule>
  </conditionalFormatting>
  <conditionalFormatting sqref="E19 I19">
    <cfRule type="expression" priority="18" dxfId="14" stopIfTrue="1">
      <formula>ISBLANK(E19)</formula>
    </cfRule>
    <cfRule type="expression" priority="19" dxfId="1" stopIfTrue="1">
      <formula>E19="ja"</formula>
    </cfRule>
    <cfRule type="expression" priority="20" dxfId="0" stopIfTrue="1">
      <formula>E19="nee"</formula>
    </cfRule>
  </conditionalFormatting>
  <conditionalFormatting sqref="E19">
    <cfRule type="expression" priority="21" dxfId="153">
      <formula>E19="in sensor"</formula>
    </cfRule>
  </conditionalFormatting>
  <conditionalFormatting sqref="I19">
    <cfRule type="expression" priority="17" dxfId="153">
      <formula>I19="in sensor"</formula>
    </cfRule>
  </conditionalFormatting>
  <conditionalFormatting sqref="I19">
    <cfRule type="expression" priority="16" dxfId="153">
      <formula>I19="in sensor"</formula>
    </cfRule>
  </conditionalFormatting>
  <conditionalFormatting sqref="I19">
    <cfRule type="expression" priority="15" dxfId="153">
      <formula>I19="in sensor"</formula>
    </cfRule>
  </conditionalFormatting>
  <conditionalFormatting sqref="E20 I20">
    <cfRule type="expression" priority="11" dxfId="14" stopIfTrue="1">
      <formula>ISBLANK(E20)</formula>
    </cfRule>
    <cfRule type="expression" priority="12" dxfId="1" stopIfTrue="1">
      <formula>E20="ja"</formula>
    </cfRule>
    <cfRule type="expression" priority="13" dxfId="0" stopIfTrue="1">
      <formula>E20="nee"</formula>
    </cfRule>
  </conditionalFormatting>
  <conditionalFormatting sqref="E20">
    <cfRule type="expression" priority="14" dxfId="153">
      <formula>E20="in sensor"</formula>
    </cfRule>
  </conditionalFormatting>
  <conditionalFormatting sqref="I20">
    <cfRule type="expression" priority="9" dxfId="153">
      <formula>I20="in sensor"</formula>
    </cfRule>
  </conditionalFormatting>
  <conditionalFormatting sqref="I20">
    <cfRule type="expression" priority="8" dxfId="153">
      <formula>I20="in sensor"</formula>
    </cfRule>
  </conditionalFormatting>
  <conditionalFormatting sqref="E21 I21">
    <cfRule type="expression" priority="4" dxfId="14" stopIfTrue="1">
      <formula>ISBLANK(E21)</formula>
    </cfRule>
    <cfRule type="expression" priority="5" dxfId="1" stopIfTrue="1">
      <formula>E21="ja"</formula>
    </cfRule>
    <cfRule type="expression" priority="6" dxfId="0" stopIfTrue="1">
      <formula>E21="nee"</formula>
    </cfRule>
  </conditionalFormatting>
  <conditionalFormatting sqref="I21">
    <cfRule type="expression" priority="3" dxfId="153">
      <formula>I21="in sensor"</formula>
    </cfRule>
  </conditionalFormatting>
  <conditionalFormatting sqref="I21">
    <cfRule type="expression" priority="2" dxfId="153">
      <formula>I21="in sensor"</formula>
    </cfRule>
  </conditionalFormatting>
  <dataValidations count="6">
    <dataValidation type="decimal" operator="lessThan" allowBlank="1" showInputMessage="1" showErrorMessage="1" promptTitle="Multiplier-factor" prompt="Negatieve factor  bv -125, deze waarde is voor elke lichtcel anders.&#10;Lichtcel voor compartiment water kies factor water.&#10;Lichtcel voor compartiment lucht kies factor lucht.&#10;" errorTitle="Multiplier-factor" error="Factor is een negatieve waarde" sqref="H11:H21 D11:D21">
      <formula1>0</formula1>
    </dataValidation>
    <dataValidation type="list" allowBlank="1" showInputMessage="1" showErrorMessage="1" promptTitle="Statische platte cel methode" prompt="Keuzemenu" sqref="C5 C7:C9 G7:G8">
      <formula1>Extinctie!#REF!</formula1>
    </dataValidation>
    <dataValidation type="list" allowBlank="1" showInputMessage="1" showErrorMessage="1" promptTitle="Keuzemenu" sqref="B3">
      <formula1>$J$9:$J$10</formula1>
    </dataValidation>
    <dataValidation type="list" allowBlank="1" showInputMessage="1" showErrorMessage="1" promptTitle="Compartiment" prompt="Keuzemenu" sqref="D7 H7">
      <formula1>$J$6:$J$7</formula1>
    </dataValidation>
    <dataValidation type="list" allowBlank="1" showInputMessage="1" showErrorMessage="1" promptTitle="Plaatsing" prompt="Keuzemenu" sqref="D8 H8">
      <formula1>$J$13:$J$16</formula1>
    </dataValidation>
    <dataValidation type="list" allowBlank="1" showInputMessage="1" showErrorMessage="1" promptTitle="Instelling in logger/ programma" prompt="Keuzemenu" sqref="I11:I21 E11:E21">
      <formula1>$J$2:$J$4</formula1>
    </dataValidation>
  </dataValidation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F2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16.8515625" style="79" customWidth="1"/>
    <col min="2" max="2" width="13.57421875" style="80" customWidth="1"/>
    <col min="3" max="3" width="9.8515625" style="19" customWidth="1"/>
    <col min="4" max="4" width="13.57421875" style="19" customWidth="1"/>
    <col min="5" max="5" width="10.140625" style="19" customWidth="1"/>
    <col min="6" max="6" width="9.140625" style="19" hidden="1" customWidth="1"/>
    <col min="7" max="16384" width="9.140625" style="19" customWidth="1"/>
  </cols>
  <sheetData>
    <row r="1" spans="1:6" ht="12.75">
      <c r="A1" s="76" t="s">
        <v>1</v>
      </c>
      <c r="B1" s="143"/>
      <c r="C1" s="11"/>
      <c r="D1" s="143"/>
      <c r="E1" s="230"/>
      <c r="F1" s="1" t="s">
        <v>43</v>
      </c>
    </row>
    <row r="2" spans="1:6" ht="12.75">
      <c r="A2" s="224"/>
      <c r="B2" s="144"/>
      <c r="C2" s="16"/>
      <c r="D2" s="144"/>
      <c r="E2" s="77"/>
      <c r="F2" s="1" t="s">
        <v>44</v>
      </c>
    </row>
    <row r="3" spans="1:6" ht="12.75">
      <c r="A3" s="13" t="s">
        <v>41</v>
      </c>
      <c r="B3" s="68" t="s">
        <v>44</v>
      </c>
      <c r="C3" s="16"/>
      <c r="D3" s="144"/>
      <c r="E3" s="77"/>
      <c r="F3" s="1" t="s">
        <v>70</v>
      </c>
    </row>
    <row r="4" spans="1:5" ht="13.5" thickBot="1">
      <c r="A4" s="78"/>
      <c r="B4" s="144"/>
      <c r="C4" s="16"/>
      <c r="D4" s="16"/>
      <c r="E4" s="58"/>
    </row>
    <row r="5" spans="1:5" ht="12.75">
      <c r="A5" s="226" t="s">
        <v>6</v>
      </c>
      <c r="B5" s="173" t="s">
        <v>0</v>
      </c>
      <c r="C5" s="173" t="s">
        <v>22</v>
      </c>
      <c r="D5" s="173" t="s">
        <v>22</v>
      </c>
      <c r="E5" s="228" t="s">
        <v>2</v>
      </c>
    </row>
    <row r="6" spans="1:5" ht="12.75">
      <c r="A6" s="227"/>
      <c r="B6" s="75"/>
      <c r="C6" s="75" t="s">
        <v>82</v>
      </c>
      <c r="D6" s="229" t="s">
        <v>80</v>
      </c>
      <c r="E6" s="225"/>
    </row>
    <row r="7" spans="1:5" ht="15" customHeight="1">
      <c r="A7" s="227"/>
      <c r="B7" s="75"/>
      <c r="C7" s="75"/>
      <c r="D7" s="229" t="s">
        <v>81</v>
      </c>
      <c r="E7" s="225"/>
    </row>
    <row r="8" spans="1:5" ht="15" customHeight="1" thickBot="1">
      <c r="A8" s="227"/>
      <c r="B8" s="75"/>
      <c r="C8" s="158" t="str">
        <f>Randvoorwaarden_Specificaties!C10</f>
        <v>°C</v>
      </c>
      <c r="D8" s="158" t="str">
        <f>Randvoorwaarden_Specificaties!C10</f>
        <v>°C</v>
      </c>
      <c r="E8" s="196" t="str">
        <f>Randvoorwaarden_Specificaties!C10</f>
        <v>°C</v>
      </c>
    </row>
    <row r="9" spans="1:5" ht="12.75" hidden="1">
      <c r="A9" s="32" t="s">
        <v>3</v>
      </c>
      <c r="B9" s="5"/>
      <c r="C9" s="51"/>
      <c r="D9" s="51"/>
      <c r="E9" s="231">
        <f aca="true" t="shared" si="0" ref="E9:E22">ROUND(ABS(D9-C9),2)</f>
        <v>0</v>
      </c>
    </row>
    <row r="10" spans="1:5" ht="13.5" hidden="1" thickBot="1">
      <c r="A10" s="35" t="s">
        <v>4</v>
      </c>
      <c r="B10" s="82"/>
      <c r="C10" s="74"/>
      <c r="D10" s="74"/>
      <c r="E10" s="232">
        <f t="shared" si="0"/>
        <v>0</v>
      </c>
    </row>
    <row r="11" spans="1:5" ht="12.75">
      <c r="A11" s="32" t="s">
        <v>3</v>
      </c>
      <c r="B11" s="5">
        <v>44317</v>
      </c>
      <c r="C11" s="51">
        <v>13</v>
      </c>
      <c r="D11" s="51">
        <v>13.1</v>
      </c>
      <c r="E11" s="231">
        <f t="shared" si="0"/>
        <v>0.1</v>
      </c>
    </row>
    <row r="12" spans="1:5" ht="13.5" thickBot="1">
      <c r="A12" s="35" t="s">
        <v>4</v>
      </c>
      <c r="B12" s="82"/>
      <c r="C12" s="74">
        <v>13.2</v>
      </c>
      <c r="D12" s="74">
        <v>13.31</v>
      </c>
      <c r="E12" s="232">
        <f t="shared" si="0"/>
        <v>0.11</v>
      </c>
    </row>
    <row r="13" spans="1:5" ht="12.75">
      <c r="A13" s="32" t="s">
        <v>3</v>
      </c>
      <c r="B13" s="5">
        <v>44323</v>
      </c>
      <c r="C13" s="51">
        <v>13.23</v>
      </c>
      <c r="D13" s="51">
        <v>13.27</v>
      </c>
      <c r="E13" s="231">
        <f t="shared" si="0"/>
        <v>0.04</v>
      </c>
    </row>
    <row r="14" spans="1:5" ht="13.5" thickBot="1">
      <c r="A14" s="35" t="s">
        <v>4</v>
      </c>
      <c r="B14" s="82"/>
      <c r="C14" s="74">
        <v>13.43</v>
      </c>
      <c r="D14" s="74">
        <v>13.51</v>
      </c>
      <c r="E14" s="232">
        <f t="shared" si="0"/>
        <v>0.08</v>
      </c>
    </row>
    <row r="15" spans="1:5" ht="12.75">
      <c r="A15" s="32" t="s">
        <v>3</v>
      </c>
      <c r="B15" s="5"/>
      <c r="C15" s="51"/>
      <c r="D15" s="51"/>
      <c r="E15" s="231">
        <f t="shared" si="0"/>
        <v>0</v>
      </c>
    </row>
    <row r="16" spans="1:5" ht="13.5" thickBot="1">
      <c r="A16" s="35" t="s">
        <v>4</v>
      </c>
      <c r="B16" s="82"/>
      <c r="C16" s="74"/>
      <c r="D16" s="74"/>
      <c r="E16" s="232">
        <f t="shared" si="0"/>
        <v>0</v>
      </c>
    </row>
    <row r="17" spans="1:5" ht="12.75">
      <c r="A17" s="32" t="s">
        <v>3</v>
      </c>
      <c r="B17" s="5"/>
      <c r="C17" s="51"/>
      <c r="D17" s="51"/>
      <c r="E17" s="231">
        <f t="shared" si="0"/>
        <v>0</v>
      </c>
    </row>
    <row r="18" spans="1:5" ht="13.5" thickBot="1">
      <c r="A18" s="35" t="s">
        <v>4</v>
      </c>
      <c r="B18" s="82"/>
      <c r="C18" s="74"/>
      <c r="D18" s="74"/>
      <c r="E18" s="232">
        <f t="shared" si="0"/>
        <v>0</v>
      </c>
    </row>
    <row r="19" spans="1:5" ht="12.75">
      <c r="A19" s="32" t="s">
        <v>3</v>
      </c>
      <c r="B19" s="5"/>
      <c r="C19" s="51"/>
      <c r="D19" s="51"/>
      <c r="E19" s="231">
        <f t="shared" si="0"/>
        <v>0</v>
      </c>
    </row>
    <row r="20" spans="1:5" ht="13.5" thickBot="1">
      <c r="A20" s="35" t="s">
        <v>4</v>
      </c>
      <c r="B20" s="82"/>
      <c r="C20" s="74"/>
      <c r="D20" s="74"/>
      <c r="E20" s="232">
        <f t="shared" si="0"/>
        <v>0</v>
      </c>
    </row>
    <row r="21" spans="1:5" ht="12.75">
      <c r="A21" s="32" t="s">
        <v>3</v>
      </c>
      <c r="B21" s="5"/>
      <c r="C21" s="51"/>
      <c r="D21" s="51"/>
      <c r="E21" s="231">
        <f t="shared" si="0"/>
        <v>0</v>
      </c>
    </row>
    <row r="22" spans="1:5" ht="13.5" thickBot="1">
      <c r="A22" s="35" t="s">
        <v>4</v>
      </c>
      <c r="B22" s="82"/>
      <c r="C22" s="74"/>
      <c r="D22" s="74"/>
      <c r="E22" s="232">
        <f t="shared" si="0"/>
        <v>0</v>
      </c>
    </row>
  </sheetData>
  <sheetProtection sheet="1" objects="1" scenarios="1"/>
  <conditionalFormatting sqref="E9">
    <cfRule type="expression" priority="337" dxfId="10" stopIfTrue="1">
      <formula>ISBLANK(D9)</formula>
    </cfRule>
  </conditionalFormatting>
  <conditionalFormatting sqref="E10">
    <cfRule type="expression" priority="37" dxfId="10" stopIfTrue="1">
      <formula>ISBLANK(D10)</formula>
    </cfRule>
  </conditionalFormatting>
  <conditionalFormatting sqref="E11">
    <cfRule type="expression" priority="34" dxfId="10" stopIfTrue="1">
      <formula>ISBLANK(D11)</formula>
    </cfRule>
  </conditionalFormatting>
  <conditionalFormatting sqref="E12">
    <cfRule type="expression" priority="31" dxfId="10" stopIfTrue="1">
      <formula>ISBLANK(D12)</formula>
    </cfRule>
  </conditionalFormatting>
  <conditionalFormatting sqref="E13">
    <cfRule type="expression" priority="28" dxfId="10" stopIfTrue="1">
      <formula>ISBLANK(D13)</formula>
    </cfRule>
  </conditionalFormatting>
  <conditionalFormatting sqref="E14">
    <cfRule type="expression" priority="25" dxfId="10" stopIfTrue="1">
      <formula>ISBLANK(D14)</formula>
    </cfRule>
  </conditionalFormatting>
  <conditionalFormatting sqref="E15">
    <cfRule type="expression" priority="22" dxfId="10" stopIfTrue="1">
      <formula>ISBLANK(D15)</formula>
    </cfRule>
  </conditionalFormatting>
  <conditionalFormatting sqref="E16">
    <cfRule type="expression" priority="19" dxfId="10" stopIfTrue="1">
      <formula>ISBLANK(D16)</formula>
    </cfRule>
  </conditionalFormatting>
  <conditionalFormatting sqref="E17">
    <cfRule type="expression" priority="16" dxfId="10" stopIfTrue="1">
      <formula>ISBLANK(D17)</formula>
    </cfRule>
  </conditionalFormatting>
  <conditionalFormatting sqref="E18">
    <cfRule type="expression" priority="13" dxfId="10" stopIfTrue="1">
      <formula>ISBLANK(D18)</formula>
    </cfRule>
  </conditionalFormatting>
  <conditionalFormatting sqref="E19">
    <cfRule type="expression" priority="10" dxfId="10" stopIfTrue="1">
      <formula>ISBLANK(D19)</formula>
    </cfRule>
  </conditionalFormatting>
  <conditionalFormatting sqref="E20">
    <cfRule type="expression" priority="7" dxfId="10" stopIfTrue="1">
      <formula>ISBLANK(D20)</formula>
    </cfRule>
  </conditionalFormatting>
  <conditionalFormatting sqref="E21">
    <cfRule type="expression" priority="4" dxfId="10" stopIfTrue="1">
      <formula>ISBLANK(D21)</formula>
    </cfRule>
  </conditionalFormatting>
  <conditionalFormatting sqref="E22">
    <cfRule type="expression" priority="1" dxfId="10" stopIfTrue="1">
      <formula>ISBLANK(D22)</formula>
    </cfRule>
  </conditionalFormatting>
  <dataValidations count="1">
    <dataValidation type="list" showInputMessage="1" showErrorMessage="1" promptTitle="Toetsingsfrequentie" prompt="Keuzemenu&#10;" sqref="B3">
      <formula1>$F$1:$F$3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T28"/>
  <sheetViews>
    <sheetView zoomScalePageLayoutView="0" workbookViewId="0" topLeftCell="A1">
      <pane ySplit="14" topLeftCell="A19" activePane="bottomLeft" state="frozen"/>
      <selection pane="topLeft" activeCell="M33" sqref="M33"/>
      <selection pane="bottomLeft" activeCell="A29" sqref="A29"/>
    </sheetView>
  </sheetViews>
  <sheetFormatPr defaultColWidth="9.140625" defaultRowHeight="12.75"/>
  <cols>
    <col min="1" max="1" width="19.140625" style="19" customWidth="1"/>
    <col min="2" max="2" width="10.7109375" style="19" customWidth="1"/>
    <col min="3" max="3" width="12.140625" style="19" customWidth="1"/>
    <col min="4" max="4" width="13.28125" style="49" bestFit="1" customWidth="1"/>
    <col min="5" max="5" width="12.28125" style="19" hidden="1" customWidth="1"/>
    <col min="6" max="6" width="12.28125" style="315" customWidth="1"/>
    <col min="7" max="7" width="10.28125" style="19" hidden="1" customWidth="1"/>
    <col min="8" max="8" width="10.28125" style="315" customWidth="1"/>
    <col min="9" max="9" width="8.57421875" style="19" bestFit="1" customWidth="1"/>
    <col min="10" max="10" width="12.8515625" style="19" customWidth="1"/>
    <col min="11" max="11" width="12.140625" style="19" hidden="1" customWidth="1"/>
    <col min="12" max="12" width="12.140625" style="315" customWidth="1"/>
    <col min="13" max="13" width="9.57421875" style="19" hidden="1" customWidth="1"/>
    <col min="14" max="14" width="9.57421875" style="315" customWidth="1"/>
    <col min="15" max="15" width="8.421875" style="19" bestFit="1" customWidth="1"/>
    <col min="16" max="16" width="11.00390625" style="19" hidden="1" customWidth="1"/>
    <col min="17" max="16384" width="9.140625" style="19" customWidth="1"/>
  </cols>
  <sheetData>
    <row r="1" spans="1:19" s="53" customFormat="1" ht="12.75">
      <c r="A1" s="39" t="s">
        <v>5</v>
      </c>
      <c r="B1" s="10"/>
      <c r="C1" s="11"/>
      <c r="D1" s="11"/>
      <c r="E1" s="11"/>
      <c r="F1" s="305"/>
      <c r="G1" s="11"/>
      <c r="H1" s="305"/>
      <c r="I1" s="11"/>
      <c r="J1" s="11"/>
      <c r="K1" s="11"/>
      <c r="L1" s="305"/>
      <c r="M1" s="11"/>
      <c r="N1" s="305"/>
      <c r="O1" s="12"/>
      <c r="P1" s="26" t="s">
        <v>29</v>
      </c>
      <c r="Q1" s="47"/>
      <c r="R1" s="47"/>
      <c r="S1" s="47"/>
    </row>
    <row r="2" spans="1:19" ht="12.75">
      <c r="A2" s="98"/>
      <c r="B2" s="99"/>
      <c r="C2" s="100"/>
      <c r="D2" s="15"/>
      <c r="E2" s="14"/>
      <c r="F2" s="316"/>
      <c r="G2" s="54"/>
      <c r="H2" s="306" t="s">
        <v>75</v>
      </c>
      <c r="I2" s="16"/>
      <c r="J2" s="16"/>
      <c r="K2" s="17"/>
      <c r="L2" s="319"/>
      <c r="M2" s="17"/>
      <c r="N2" s="319"/>
      <c r="O2" s="18"/>
      <c r="P2" s="1" t="s">
        <v>30</v>
      </c>
      <c r="Q2" s="47"/>
      <c r="R2" s="139"/>
      <c r="S2" s="137"/>
    </row>
    <row r="3" spans="1:19" ht="12.75">
      <c r="A3" s="13" t="s">
        <v>41</v>
      </c>
      <c r="B3" s="68" t="s">
        <v>44</v>
      </c>
      <c r="C3" s="100"/>
      <c r="D3" s="15"/>
      <c r="E3" s="14"/>
      <c r="F3" s="316"/>
      <c r="G3" s="20"/>
      <c r="H3" s="307" t="s">
        <v>27</v>
      </c>
      <c r="I3" s="20" t="s">
        <v>28</v>
      </c>
      <c r="J3" s="17"/>
      <c r="K3" s="17"/>
      <c r="L3" s="319"/>
      <c r="M3" s="17"/>
      <c r="N3" s="319"/>
      <c r="O3" s="18"/>
      <c r="P3" s="1"/>
      <c r="Q3" s="47"/>
      <c r="R3" s="139"/>
      <c r="S3" s="137"/>
    </row>
    <row r="4" spans="1:19" ht="12.75">
      <c r="A4" s="13" t="s">
        <v>31</v>
      </c>
      <c r="B4" s="68" t="s">
        <v>30</v>
      </c>
      <c r="C4" s="100"/>
      <c r="D4" s="15"/>
      <c r="E4" s="14"/>
      <c r="F4" s="316"/>
      <c r="G4" s="2"/>
      <c r="H4" s="308" t="s">
        <v>52</v>
      </c>
      <c r="I4" s="2" t="s">
        <v>52</v>
      </c>
      <c r="J4" s="17"/>
      <c r="K4" s="17"/>
      <c r="L4" s="319"/>
      <c r="M4" s="17"/>
      <c r="N4" s="319"/>
      <c r="O4" s="18"/>
      <c r="P4" s="1" t="s">
        <v>43</v>
      </c>
      <c r="Q4" s="47"/>
      <c r="R4" s="139"/>
      <c r="S4" s="137"/>
    </row>
    <row r="5" spans="1:19" ht="12.75">
      <c r="A5" s="128" t="s">
        <v>7</v>
      </c>
      <c r="B5" s="68"/>
      <c r="C5" s="100"/>
      <c r="D5" s="15"/>
      <c r="E5" s="14"/>
      <c r="F5" s="316"/>
      <c r="G5" s="45"/>
      <c r="H5" s="309">
        <v>0.01</v>
      </c>
      <c r="I5" s="45">
        <v>0.2</v>
      </c>
      <c r="J5" s="17"/>
      <c r="K5" s="17"/>
      <c r="L5" s="319"/>
      <c r="M5" s="17"/>
      <c r="N5" s="319"/>
      <c r="O5" s="18"/>
      <c r="P5" s="1" t="s">
        <v>44</v>
      </c>
      <c r="Q5" s="47"/>
      <c r="R5" s="139"/>
      <c r="S5" s="137"/>
    </row>
    <row r="6" spans="1:19" ht="12.75">
      <c r="A6" s="128" t="s">
        <v>51</v>
      </c>
      <c r="B6" s="68"/>
      <c r="C6" s="100"/>
      <c r="D6" s="15" t="s">
        <v>11</v>
      </c>
      <c r="E6" s="14"/>
      <c r="F6" s="316"/>
      <c r="G6" s="45"/>
      <c r="H6" s="310" t="s">
        <v>140</v>
      </c>
      <c r="I6" s="3" t="s">
        <v>145</v>
      </c>
      <c r="J6" s="17"/>
      <c r="K6" s="17"/>
      <c r="L6" s="319"/>
      <c r="M6" s="17"/>
      <c r="N6" s="319"/>
      <c r="O6" s="18"/>
      <c r="P6" s="1" t="s">
        <v>70</v>
      </c>
      <c r="Q6" s="47"/>
      <c r="R6" s="139"/>
      <c r="S6" s="137"/>
    </row>
    <row r="7" spans="1:19" ht="12.75">
      <c r="A7" s="128" t="s">
        <v>50</v>
      </c>
      <c r="B7" s="68"/>
      <c r="C7" s="100"/>
      <c r="D7" s="15" t="s">
        <v>14</v>
      </c>
      <c r="E7" s="14"/>
      <c r="F7" s="316"/>
      <c r="G7" s="45"/>
      <c r="H7" s="310" t="s">
        <v>141</v>
      </c>
      <c r="I7" s="297" t="s">
        <v>146</v>
      </c>
      <c r="J7" s="17"/>
      <c r="K7" s="17"/>
      <c r="L7" s="319"/>
      <c r="M7" s="17"/>
      <c r="N7" s="319"/>
      <c r="O7" s="18"/>
      <c r="P7" s="1" t="s">
        <v>71</v>
      </c>
      <c r="Q7" s="47"/>
      <c r="R7" s="139"/>
      <c r="S7" s="137"/>
    </row>
    <row r="8" spans="1:19" ht="12.75">
      <c r="A8" s="98"/>
      <c r="B8" s="99"/>
      <c r="C8" s="100"/>
      <c r="D8" s="15" t="s">
        <v>79</v>
      </c>
      <c r="E8" s="14"/>
      <c r="F8" s="316"/>
      <c r="G8" s="45"/>
      <c r="H8" s="304">
        <v>0.35</v>
      </c>
      <c r="I8" s="4"/>
      <c r="J8" s="17"/>
      <c r="K8" s="17"/>
      <c r="L8" s="319"/>
      <c r="M8" s="17"/>
      <c r="N8" s="319"/>
      <c r="O8" s="18"/>
      <c r="P8" s="1" t="s">
        <v>73</v>
      </c>
      <c r="Q8" s="47"/>
      <c r="R8" s="139"/>
      <c r="S8" s="137"/>
    </row>
    <row r="9" spans="1:19" ht="12.75">
      <c r="A9" s="98"/>
      <c r="B9" s="20"/>
      <c r="C9" s="20"/>
      <c r="D9" s="20"/>
      <c r="E9" s="20"/>
      <c r="F9" s="307"/>
      <c r="G9" s="20"/>
      <c r="H9" s="307"/>
      <c r="I9" s="20"/>
      <c r="J9" s="17"/>
      <c r="K9" s="17"/>
      <c r="L9" s="319"/>
      <c r="M9" s="17"/>
      <c r="N9" s="319"/>
      <c r="O9" s="18"/>
      <c r="Q9" s="47"/>
      <c r="R9" s="139"/>
      <c r="S9" s="137"/>
    </row>
    <row r="10" spans="1:19" ht="13.5" thickBot="1">
      <c r="A10" s="130"/>
      <c r="B10" s="16"/>
      <c r="C10" s="14"/>
      <c r="D10" s="16"/>
      <c r="E10" s="21"/>
      <c r="F10" s="316"/>
      <c r="G10" s="15"/>
      <c r="H10" s="311"/>
      <c r="I10" s="14"/>
      <c r="J10" s="17"/>
      <c r="K10" s="17"/>
      <c r="L10" s="319"/>
      <c r="M10" s="142"/>
      <c r="N10" s="319"/>
      <c r="O10" s="18"/>
      <c r="Q10" s="47"/>
      <c r="R10" s="138"/>
      <c r="S10" s="138"/>
    </row>
    <row r="11" spans="1:20" ht="12.75">
      <c r="A11" s="23"/>
      <c r="B11" s="24"/>
      <c r="C11" s="24"/>
      <c r="D11" s="25" t="s">
        <v>27</v>
      </c>
      <c r="E11" s="24"/>
      <c r="F11" s="24" t="s">
        <v>36</v>
      </c>
      <c r="G11" s="40"/>
      <c r="H11" s="312"/>
      <c r="I11" s="24"/>
      <c r="J11" s="25" t="s">
        <v>28</v>
      </c>
      <c r="K11" s="24"/>
      <c r="L11" s="24" t="s">
        <v>37</v>
      </c>
      <c r="M11" s="40"/>
      <c r="N11" s="312"/>
      <c r="O11" s="83"/>
      <c r="Q11" s="22"/>
      <c r="R11" s="47"/>
      <c r="S11" s="138"/>
      <c r="T11" s="138"/>
    </row>
    <row r="12" spans="1:20" ht="12.75">
      <c r="A12" s="13"/>
      <c r="B12" s="15"/>
      <c r="C12" s="15"/>
      <c r="D12" s="29"/>
      <c r="E12" s="15"/>
      <c r="F12" s="311"/>
      <c r="G12" s="84"/>
      <c r="H12" s="313"/>
      <c r="I12" s="15"/>
      <c r="J12" s="29"/>
      <c r="K12" s="15"/>
      <c r="L12" s="311"/>
      <c r="M12" s="84"/>
      <c r="N12" s="313"/>
      <c r="O12" s="85"/>
      <c r="Q12" s="22"/>
      <c r="R12" s="140"/>
      <c r="S12" s="138"/>
      <c r="T12" s="138"/>
    </row>
    <row r="13" spans="1:20" ht="14.25" customHeight="1">
      <c r="A13" s="27" t="s">
        <v>6</v>
      </c>
      <c r="B13" s="75" t="s">
        <v>0</v>
      </c>
      <c r="C13" s="141" t="s">
        <v>31</v>
      </c>
      <c r="D13" s="29" t="s">
        <v>1</v>
      </c>
      <c r="E13" s="28" t="s">
        <v>21</v>
      </c>
      <c r="F13" s="314" t="s">
        <v>21</v>
      </c>
      <c r="G13" s="28" t="s">
        <v>22</v>
      </c>
      <c r="H13" s="314" t="s">
        <v>22</v>
      </c>
      <c r="I13" s="28" t="s">
        <v>2</v>
      </c>
      <c r="J13" s="29" t="s">
        <v>1</v>
      </c>
      <c r="K13" s="28" t="s">
        <v>21</v>
      </c>
      <c r="L13" s="314" t="s">
        <v>21</v>
      </c>
      <c r="M13" s="28" t="s">
        <v>22</v>
      </c>
      <c r="N13" s="314" t="s">
        <v>22</v>
      </c>
      <c r="O13" s="30" t="s">
        <v>2</v>
      </c>
      <c r="R13" s="140"/>
      <c r="S13" s="138"/>
      <c r="T13" s="138"/>
    </row>
    <row r="14" spans="1:20" ht="14.25" customHeight="1" thickBot="1">
      <c r="A14" s="27"/>
      <c r="B14" s="28"/>
      <c r="C14" s="28"/>
      <c r="D14" s="29" t="str">
        <f>Randvoorwaarden_Specificaties!C10</f>
        <v>°C</v>
      </c>
      <c r="E14" s="28" t="str">
        <f>Randvoorwaarden_Specificaties!C11</f>
        <v>mS/m</v>
      </c>
      <c r="F14" s="314" t="s">
        <v>148</v>
      </c>
      <c r="G14" s="28" t="str">
        <f>Randvoorwaarden_Specificaties!C11</f>
        <v>mS/m</v>
      </c>
      <c r="H14" s="314" t="s">
        <v>148</v>
      </c>
      <c r="I14" s="31" t="str">
        <f>Randvoorwaarden_Specificaties!H11</f>
        <v>%</v>
      </c>
      <c r="J14" s="29" t="str">
        <f>Randvoorwaarden_Specificaties!C10</f>
        <v>°C</v>
      </c>
      <c r="K14" s="28" t="str">
        <f>Randvoorwaarden_Specificaties!C11</f>
        <v>mS/m</v>
      </c>
      <c r="L14" s="314" t="s">
        <v>148</v>
      </c>
      <c r="M14" s="28" t="str">
        <f>Randvoorwaarden_Specificaties!C11</f>
        <v>mS/m</v>
      </c>
      <c r="N14" s="314" t="s">
        <v>148</v>
      </c>
      <c r="O14" s="30" t="str">
        <f>Randvoorwaarden_Specificaties!H11</f>
        <v>%</v>
      </c>
      <c r="R14" s="47"/>
      <c r="S14" s="138"/>
      <c r="T14" s="138"/>
    </row>
    <row r="15" spans="1:20" ht="12.75" hidden="1">
      <c r="A15" s="32" t="s">
        <v>3</v>
      </c>
      <c r="B15" s="5"/>
      <c r="C15" s="218"/>
      <c r="D15" s="6"/>
      <c r="E15" s="33">
        <f aca="true" t="shared" si="0" ref="E15:E28">ROUND(141.2*ABS(1+0.019*(D15-25)),1)</f>
        <v>74.1</v>
      </c>
      <c r="F15" s="317">
        <f aca="true" t="shared" si="1" ref="F15:F28">E15*10</f>
        <v>741</v>
      </c>
      <c r="G15" s="7">
        <f>H15/10</f>
        <v>0</v>
      </c>
      <c r="H15" s="175"/>
      <c r="I15" s="38">
        <f aca="true" t="shared" si="2" ref="I15:I20">ROUND(ABS(E15-G15)/E15*100,1)</f>
        <v>100</v>
      </c>
      <c r="J15" s="6"/>
      <c r="K15" s="33">
        <f aca="true" t="shared" si="3" ref="K15:K20">ROUND(2480*((0.6766097+2.00564*10^-2*J15+1.104259*10^-4*J15^2-6.9698*10^-7*J15^3+1.0031*10^-9*J15^4)/1.2365374),1)</f>
        <v>1357</v>
      </c>
      <c r="L15" s="317">
        <f>K15*10</f>
        <v>13570</v>
      </c>
      <c r="M15" s="7">
        <f>N15/10</f>
        <v>0</v>
      </c>
      <c r="N15" s="175"/>
      <c r="O15" s="34">
        <f aca="true" t="shared" si="4" ref="O15:O28">ROUND(ABS(K15-M15)/K15*100,1)</f>
        <v>100</v>
      </c>
      <c r="R15" s="140"/>
      <c r="S15" s="138"/>
      <c r="T15" s="138"/>
    </row>
    <row r="16" spans="1:20" ht="13.5" hidden="1" thickBot="1">
      <c r="A16" s="35" t="s">
        <v>4</v>
      </c>
      <c r="B16" s="82"/>
      <c r="C16" s="82"/>
      <c r="D16" s="8"/>
      <c r="E16" s="36">
        <f t="shared" si="0"/>
        <v>74.1</v>
      </c>
      <c r="F16" s="318">
        <f t="shared" si="1"/>
        <v>741</v>
      </c>
      <c r="G16" s="9">
        <f>H16/10</f>
        <v>0</v>
      </c>
      <c r="H16" s="176"/>
      <c r="I16" s="37">
        <f t="shared" si="2"/>
        <v>100</v>
      </c>
      <c r="J16" s="8"/>
      <c r="K16" s="36">
        <f t="shared" si="3"/>
        <v>1357</v>
      </c>
      <c r="L16" s="318">
        <f aca="true" t="shared" si="5" ref="L16:L28">K16*10</f>
        <v>13570</v>
      </c>
      <c r="M16" s="9">
        <f aca="true" t="shared" si="6" ref="M16:M28">N16/10</f>
        <v>0</v>
      </c>
      <c r="N16" s="176"/>
      <c r="O16" s="37">
        <f t="shared" si="4"/>
        <v>100</v>
      </c>
      <c r="R16" s="140"/>
      <c r="S16" s="138"/>
      <c r="T16" s="138"/>
    </row>
    <row r="17" spans="1:15" ht="12.75">
      <c r="A17" s="32" t="s">
        <v>3</v>
      </c>
      <c r="B17" s="5">
        <v>44609</v>
      </c>
      <c r="C17" s="218"/>
      <c r="D17" s="6">
        <v>17</v>
      </c>
      <c r="E17" s="33">
        <f t="shared" si="0"/>
        <v>119.7</v>
      </c>
      <c r="F17" s="317">
        <f t="shared" si="1"/>
        <v>1197</v>
      </c>
      <c r="G17" s="7">
        <f aca="true" t="shared" si="7" ref="G17:G24">H17/10</f>
        <v>118</v>
      </c>
      <c r="H17" s="175">
        <v>1180</v>
      </c>
      <c r="I17" s="38">
        <f t="shared" si="2"/>
        <v>1.4</v>
      </c>
      <c r="J17" s="6">
        <v>25</v>
      </c>
      <c r="K17" s="33">
        <f t="shared" si="3"/>
        <v>2480</v>
      </c>
      <c r="L17" s="317">
        <f t="shared" si="5"/>
        <v>24800</v>
      </c>
      <c r="M17" s="7">
        <f t="shared" si="6"/>
        <v>2490</v>
      </c>
      <c r="N17" s="175">
        <v>24900</v>
      </c>
      <c r="O17" s="34">
        <f t="shared" si="4"/>
        <v>0.4</v>
      </c>
    </row>
    <row r="18" spans="1:15" ht="13.5" thickBot="1">
      <c r="A18" s="35" t="s">
        <v>4</v>
      </c>
      <c r="B18" s="82"/>
      <c r="C18" s="82"/>
      <c r="D18" s="8">
        <v>18.2</v>
      </c>
      <c r="E18" s="36">
        <f t="shared" si="0"/>
        <v>123</v>
      </c>
      <c r="F18" s="318">
        <f t="shared" si="1"/>
        <v>1230</v>
      </c>
      <c r="G18" s="9">
        <f t="shared" si="7"/>
        <v>124</v>
      </c>
      <c r="H18" s="176">
        <v>1240</v>
      </c>
      <c r="I18" s="37">
        <f t="shared" si="2"/>
        <v>0.8</v>
      </c>
      <c r="J18" s="8">
        <v>16</v>
      </c>
      <c r="K18" s="36">
        <f t="shared" si="3"/>
        <v>2051.7</v>
      </c>
      <c r="L18" s="318">
        <f t="shared" si="5"/>
        <v>20517</v>
      </c>
      <c r="M18" s="9">
        <f t="shared" si="6"/>
        <v>2033</v>
      </c>
      <c r="N18" s="176">
        <v>20330</v>
      </c>
      <c r="O18" s="37">
        <f t="shared" si="4"/>
        <v>0.9</v>
      </c>
    </row>
    <row r="19" spans="1:15" ht="12.75">
      <c r="A19" s="32" t="s">
        <v>3</v>
      </c>
      <c r="B19" s="5">
        <v>44610</v>
      </c>
      <c r="C19" s="218"/>
      <c r="D19" s="6">
        <v>20</v>
      </c>
      <c r="E19" s="33">
        <f t="shared" si="0"/>
        <v>127.8</v>
      </c>
      <c r="F19" s="317">
        <f t="shared" si="1"/>
        <v>1278</v>
      </c>
      <c r="G19" s="7">
        <f t="shared" si="7"/>
        <v>127.8</v>
      </c>
      <c r="H19" s="175">
        <v>1278</v>
      </c>
      <c r="I19" s="38">
        <f t="shared" si="2"/>
        <v>0</v>
      </c>
      <c r="J19" s="6">
        <v>20</v>
      </c>
      <c r="K19" s="33">
        <f t="shared" si="3"/>
        <v>2239.2</v>
      </c>
      <c r="L19" s="317">
        <f t="shared" si="5"/>
        <v>22392</v>
      </c>
      <c r="M19" s="7">
        <f t="shared" si="6"/>
        <v>2240</v>
      </c>
      <c r="N19" s="175">
        <v>22400</v>
      </c>
      <c r="O19" s="34">
        <f t="shared" si="4"/>
        <v>0</v>
      </c>
    </row>
    <row r="20" spans="1:15" ht="13.5" thickBot="1">
      <c r="A20" s="35" t="s">
        <v>4</v>
      </c>
      <c r="B20" s="82"/>
      <c r="C20" s="82"/>
      <c r="D20" s="8">
        <v>20.3</v>
      </c>
      <c r="E20" s="36">
        <f t="shared" si="0"/>
        <v>128.6</v>
      </c>
      <c r="F20" s="318">
        <f t="shared" si="1"/>
        <v>1286</v>
      </c>
      <c r="G20" s="9">
        <f t="shared" si="7"/>
        <v>128.7</v>
      </c>
      <c r="H20" s="176">
        <v>1287</v>
      </c>
      <c r="I20" s="37">
        <f t="shared" si="2"/>
        <v>0.1</v>
      </c>
      <c r="J20" s="8">
        <v>20.3</v>
      </c>
      <c r="K20" s="36">
        <f t="shared" si="3"/>
        <v>2253.5</v>
      </c>
      <c r="L20" s="318">
        <f t="shared" si="5"/>
        <v>22535</v>
      </c>
      <c r="M20" s="9">
        <f t="shared" si="6"/>
        <v>2240</v>
      </c>
      <c r="N20" s="176">
        <v>22400</v>
      </c>
      <c r="O20" s="37">
        <f t="shared" si="4"/>
        <v>0.6</v>
      </c>
    </row>
    <row r="21" spans="1:15" ht="12.75">
      <c r="A21" s="32" t="s">
        <v>3</v>
      </c>
      <c r="B21" s="5">
        <v>44617</v>
      </c>
      <c r="C21" s="218"/>
      <c r="D21" s="6">
        <v>25</v>
      </c>
      <c r="E21" s="33">
        <f t="shared" si="0"/>
        <v>141.2</v>
      </c>
      <c r="F21" s="317">
        <f t="shared" si="1"/>
        <v>1412</v>
      </c>
      <c r="G21" s="7">
        <f t="shared" si="7"/>
        <v>141.2</v>
      </c>
      <c r="H21" s="175">
        <v>1412</v>
      </c>
      <c r="I21" s="38">
        <f aca="true" t="shared" si="8" ref="I21:I28">ROUND(ABS(E21-G21)/E21*100,1)</f>
        <v>0</v>
      </c>
      <c r="J21" s="6">
        <v>25</v>
      </c>
      <c r="K21" s="33">
        <f aca="true" t="shared" si="9" ref="K21:K28">ROUND(2480*((0.6766097+2.00564*10^-2*J21+1.104259*10^-4*J21^2-6.9698*10^-7*J21^3+1.0031*10^-9*J21^4)/1.2365374),1)</f>
        <v>2480</v>
      </c>
      <c r="L21" s="317">
        <f t="shared" si="5"/>
        <v>24800</v>
      </c>
      <c r="M21" s="7">
        <f t="shared" si="6"/>
        <v>2476</v>
      </c>
      <c r="N21" s="175">
        <v>24760</v>
      </c>
      <c r="O21" s="34">
        <f t="shared" si="4"/>
        <v>0.2</v>
      </c>
    </row>
    <row r="22" spans="1:15" ht="13.5" thickBot="1">
      <c r="A22" s="35" t="s">
        <v>4</v>
      </c>
      <c r="B22" s="82"/>
      <c r="C22" s="82"/>
      <c r="D22" s="8">
        <v>25</v>
      </c>
      <c r="E22" s="36">
        <f t="shared" si="0"/>
        <v>141.2</v>
      </c>
      <c r="F22" s="318">
        <f t="shared" si="1"/>
        <v>1412</v>
      </c>
      <c r="G22" s="9">
        <f t="shared" si="7"/>
        <v>145.5</v>
      </c>
      <c r="H22" s="176">
        <v>1455</v>
      </c>
      <c r="I22" s="37">
        <f t="shared" si="8"/>
        <v>3</v>
      </c>
      <c r="J22" s="8">
        <v>25</v>
      </c>
      <c r="K22" s="36">
        <f t="shared" si="9"/>
        <v>2480</v>
      </c>
      <c r="L22" s="318">
        <f t="shared" si="5"/>
        <v>24800</v>
      </c>
      <c r="M22" s="9">
        <f t="shared" si="6"/>
        <v>2450</v>
      </c>
      <c r="N22" s="176">
        <v>24500</v>
      </c>
      <c r="O22" s="37">
        <f t="shared" si="4"/>
        <v>1.2</v>
      </c>
    </row>
    <row r="23" spans="1:15" ht="12.75">
      <c r="A23" s="32" t="s">
        <v>3</v>
      </c>
      <c r="B23" s="5"/>
      <c r="C23" s="218"/>
      <c r="D23" s="6"/>
      <c r="E23" s="33">
        <f t="shared" si="0"/>
        <v>74.1</v>
      </c>
      <c r="F23" s="317">
        <f t="shared" si="1"/>
        <v>741</v>
      </c>
      <c r="G23" s="7">
        <f t="shared" si="7"/>
        <v>0</v>
      </c>
      <c r="H23" s="175"/>
      <c r="I23" s="38">
        <f t="shared" si="8"/>
        <v>100</v>
      </c>
      <c r="J23" s="6"/>
      <c r="K23" s="33">
        <f t="shared" si="9"/>
        <v>1357</v>
      </c>
      <c r="L23" s="317">
        <f t="shared" si="5"/>
        <v>13570</v>
      </c>
      <c r="M23" s="7">
        <f t="shared" si="6"/>
        <v>0</v>
      </c>
      <c r="N23" s="175"/>
      <c r="O23" s="34">
        <f t="shared" si="4"/>
        <v>100</v>
      </c>
    </row>
    <row r="24" spans="1:15" ht="13.5" thickBot="1">
      <c r="A24" s="35" t="s">
        <v>4</v>
      </c>
      <c r="B24" s="82"/>
      <c r="C24" s="82"/>
      <c r="D24" s="8"/>
      <c r="E24" s="36">
        <f t="shared" si="0"/>
        <v>74.1</v>
      </c>
      <c r="F24" s="318">
        <f t="shared" si="1"/>
        <v>741</v>
      </c>
      <c r="G24" s="9">
        <f t="shared" si="7"/>
        <v>0</v>
      </c>
      <c r="H24" s="176"/>
      <c r="I24" s="37">
        <f t="shared" si="8"/>
        <v>100</v>
      </c>
      <c r="J24" s="8"/>
      <c r="K24" s="36">
        <f t="shared" si="9"/>
        <v>1357</v>
      </c>
      <c r="L24" s="318">
        <f t="shared" si="5"/>
        <v>13570</v>
      </c>
      <c r="M24" s="9">
        <f t="shared" si="6"/>
        <v>0</v>
      </c>
      <c r="N24" s="176"/>
      <c r="O24" s="37">
        <f t="shared" si="4"/>
        <v>100</v>
      </c>
    </row>
    <row r="25" spans="1:15" ht="12.75">
      <c r="A25" s="32" t="s">
        <v>3</v>
      </c>
      <c r="B25" s="5"/>
      <c r="C25" s="218"/>
      <c r="D25" s="6"/>
      <c r="E25" s="33">
        <f t="shared" si="0"/>
        <v>74.1</v>
      </c>
      <c r="F25" s="317">
        <f t="shared" si="1"/>
        <v>741</v>
      </c>
      <c r="G25" s="7">
        <f>H25/10</f>
        <v>0</v>
      </c>
      <c r="H25" s="175"/>
      <c r="I25" s="38">
        <f t="shared" si="8"/>
        <v>100</v>
      </c>
      <c r="J25" s="6"/>
      <c r="K25" s="33">
        <f t="shared" si="9"/>
        <v>1357</v>
      </c>
      <c r="L25" s="317">
        <f>K25*10</f>
        <v>13570</v>
      </c>
      <c r="M25" s="7">
        <f>N25/10</f>
        <v>0</v>
      </c>
      <c r="N25" s="175"/>
      <c r="O25" s="34">
        <f t="shared" si="4"/>
        <v>100</v>
      </c>
    </row>
    <row r="26" spans="1:15" ht="13.5" thickBot="1">
      <c r="A26" s="35" t="s">
        <v>4</v>
      </c>
      <c r="B26" s="82"/>
      <c r="C26" s="82"/>
      <c r="D26" s="8"/>
      <c r="E26" s="36">
        <f t="shared" si="0"/>
        <v>74.1</v>
      </c>
      <c r="F26" s="318">
        <f t="shared" si="1"/>
        <v>741</v>
      </c>
      <c r="G26" s="9">
        <f>H26/10</f>
        <v>0</v>
      </c>
      <c r="H26" s="176"/>
      <c r="I26" s="37">
        <f t="shared" si="8"/>
        <v>100</v>
      </c>
      <c r="J26" s="8"/>
      <c r="K26" s="36">
        <f t="shared" si="9"/>
        <v>1357</v>
      </c>
      <c r="L26" s="318">
        <f t="shared" si="5"/>
        <v>13570</v>
      </c>
      <c r="M26" s="9">
        <f t="shared" si="6"/>
        <v>0</v>
      </c>
      <c r="N26" s="176"/>
      <c r="O26" s="37">
        <f t="shared" si="4"/>
        <v>100</v>
      </c>
    </row>
    <row r="27" spans="1:15" ht="12.75">
      <c r="A27" s="32" t="s">
        <v>3</v>
      </c>
      <c r="B27" s="5"/>
      <c r="C27" s="218"/>
      <c r="D27" s="6"/>
      <c r="E27" s="33">
        <f t="shared" si="0"/>
        <v>74.1</v>
      </c>
      <c r="F27" s="317">
        <f t="shared" si="1"/>
        <v>741</v>
      </c>
      <c r="G27" s="7">
        <f>H27/10</f>
        <v>0</v>
      </c>
      <c r="H27" s="175"/>
      <c r="I27" s="38">
        <f t="shared" si="8"/>
        <v>100</v>
      </c>
      <c r="J27" s="6"/>
      <c r="K27" s="33">
        <f t="shared" si="9"/>
        <v>1357</v>
      </c>
      <c r="L27" s="317">
        <f>K27*10</f>
        <v>13570</v>
      </c>
      <c r="M27" s="7">
        <f>N27/10</f>
        <v>0</v>
      </c>
      <c r="N27" s="175"/>
      <c r="O27" s="34">
        <f t="shared" si="4"/>
        <v>100</v>
      </c>
    </row>
    <row r="28" spans="1:15" ht="13.5" thickBot="1">
      <c r="A28" s="35" t="s">
        <v>4</v>
      </c>
      <c r="B28" s="82"/>
      <c r="C28" s="82"/>
      <c r="D28" s="8"/>
      <c r="E28" s="36">
        <f t="shared" si="0"/>
        <v>74.1</v>
      </c>
      <c r="F28" s="318">
        <f t="shared" si="1"/>
        <v>741</v>
      </c>
      <c r="G28" s="9">
        <f>H28/10</f>
        <v>0</v>
      </c>
      <c r="H28" s="176"/>
      <c r="I28" s="37">
        <f t="shared" si="8"/>
        <v>100</v>
      </c>
      <c r="J28" s="8"/>
      <c r="K28" s="36">
        <f t="shared" si="9"/>
        <v>1357</v>
      </c>
      <c r="L28" s="318">
        <f t="shared" si="5"/>
        <v>13570</v>
      </c>
      <c r="M28" s="9">
        <f t="shared" si="6"/>
        <v>0</v>
      </c>
      <c r="N28" s="176"/>
      <c r="O28" s="37">
        <f t="shared" si="4"/>
        <v>100</v>
      </c>
    </row>
  </sheetData>
  <sheetProtection sheet="1" objects="1" scenarios="1"/>
  <conditionalFormatting sqref="C15 C17 C19">
    <cfRule type="expression" priority="115" dxfId="14" stopIfTrue="1">
      <formula>ISBLANK($C15)</formula>
    </cfRule>
    <cfRule type="cellIs" priority="116" dxfId="1" operator="between" stopIfTrue="1">
      <formula>$B$6</formula>
      <formula>$B$7</formula>
    </cfRule>
    <cfRule type="cellIs" priority="117" dxfId="0" operator="notBetween" stopIfTrue="1">
      <formula>$B$6</formula>
      <formula>$B$7</formula>
    </cfRule>
  </conditionalFormatting>
  <conditionalFormatting sqref="I15:I20 O15:O20">
    <cfRule type="cellIs" priority="118" dxfId="10" operator="equal" stopIfTrue="1">
      <formula>100</formula>
    </cfRule>
  </conditionalFormatting>
  <conditionalFormatting sqref="B5:B7">
    <cfRule type="expression" priority="136" dxfId="14" stopIfTrue="1">
      <formula>$B$4="ja"</formula>
    </cfRule>
    <cfRule type="expression" priority="137" dxfId="10" stopIfTrue="1">
      <formula>$B$4="nee"</formula>
    </cfRule>
  </conditionalFormatting>
  <conditionalFormatting sqref="I8">
    <cfRule type="expression" priority="415" dxfId="14" stopIfTrue="1">
      <formula>ISBLANK(I8)</formula>
    </cfRule>
  </conditionalFormatting>
  <conditionalFormatting sqref="I21:I22 O21:O22">
    <cfRule type="cellIs" priority="61" dxfId="10" operator="equal" stopIfTrue="1">
      <formula>100</formula>
    </cfRule>
  </conditionalFormatting>
  <conditionalFormatting sqref="I23:I24 O23:O24">
    <cfRule type="cellIs" priority="55" dxfId="10" operator="equal" stopIfTrue="1">
      <formula>100</formula>
    </cfRule>
  </conditionalFormatting>
  <conditionalFormatting sqref="C21">
    <cfRule type="expression" priority="58" dxfId="14" stopIfTrue="1">
      <formula>ISBLANK($C21)</formula>
    </cfRule>
    <cfRule type="cellIs" priority="59" dxfId="1" operator="between" stopIfTrue="1">
      <formula>$B$6</formula>
      <formula>$B$7</formula>
    </cfRule>
    <cfRule type="cellIs" priority="60" dxfId="0" operator="notBetween" stopIfTrue="1">
      <formula>$B$6</formula>
      <formula>$B$7</formula>
    </cfRule>
  </conditionalFormatting>
  <conditionalFormatting sqref="C23">
    <cfRule type="expression" priority="52" dxfId="14" stopIfTrue="1">
      <formula>ISBLANK($C23)</formula>
    </cfRule>
    <cfRule type="cellIs" priority="53" dxfId="1" operator="between" stopIfTrue="1">
      <formula>$B$6</formula>
      <formula>$B$7</formula>
    </cfRule>
    <cfRule type="cellIs" priority="54" dxfId="0" operator="notBetween" stopIfTrue="1">
      <formula>$B$6</formula>
      <formula>$B$7</formula>
    </cfRule>
  </conditionalFormatting>
  <conditionalFormatting sqref="H8">
    <cfRule type="expression" priority="37" dxfId="14" stopIfTrue="1">
      <formula>ISBLANK(H8)</formula>
    </cfRule>
  </conditionalFormatting>
  <conditionalFormatting sqref="C25">
    <cfRule type="expression" priority="7" dxfId="14" stopIfTrue="1">
      <formula>ISBLANK($C25)</formula>
    </cfRule>
    <cfRule type="cellIs" priority="8" dxfId="1" operator="between" stopIfTrue="1">
      <formula>$B$6</formula>
      <formula>$B$7</formula>
    </cfRule>
    <cfRule type="cellIs" priority="9" dxfId="0" operator="notBetween" stopIfTrue="1">
      <formula>$B$6</formula>
      <formula>$B$7</formula>
    </cfRule>
  </conditionalFormatting>
  <conditionalFormatting sqref="I25:I26 O25:O26">
    <cfRule type="cellIs" priority="10" dxfId="10" operator="equal" stopIfTrue="1">
      <formula>100</formula>
    </cfRule>
  </conditionalFormatting>
  <conditionalFormatting sqref="C27">
    <cfRule type="expression" priority="1" dxfId="14" stopIfTrue="1">
      <formula>ISBLANK($C27)</formula>
    </cfRule>
    <cfRule type="cellIs" priority="2" dxfId="1" operator="between" stopIfTrue="1">
      <formula>$B$6</formula>
      <formula>$B$7</formula>
    </cfRule>
    <cfRule type="cellIs" priority="3" dxfId="0" operator="notBetween" stopIfTrue="1">
      <formula>$B$6</formula>
      <formula>$B$7</formula>
    </cfRule>
  </conditionalFormatting>
  <conditionalFormatting sqref="I27:I28 O27:O28">
    <cfRule type="cellIs" priority="4" dxfId="10" operator="equal" stopIfTrue="1">
      <formula>100</formula>
    </cfRule>
  </conditionalFormatting>
  <dataValidations count="3">
    <dataValidation type="list" showInputMessage="1" showErrorMessage="1" promptTitle="Toetsingsfrequentie" prompt="Keuzemenu&#10;" sqref="B3">
      <formula1>$P$4:$P$8</formula1>
    </dataValidation>
    <dataValidation type="list" allowBlank="1" showInputMessage="1" showErrorMessage="1" promptTitle="Steilheid registratie" prompt="Keuzemenu" sqref="B4">
      <formula1>$P$1:$P$2</formula1>
    </dataValidation>
    <dataValidation allowBlank="1" showInputMessage="1" showErrorMessage="1" promptTitle="Eenheid" prompt="Eenheid steilheid aangeven indien bekend" sqref="B5"/>
  </dataValidations>
  <printOptions/>
  <pageMargins left="0.75" right="0.75" top="1" bottom="1" header="0.5" footer="0.5"/>
  <pageSetup fitToHeight="1" fitToWidth="1"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X20"/>
  <sheetViews>
    <sheetView zoomScalePageLayoutView="0" workbookViewId="0" topLeftCell="A1">
      <pane ySplit="12" topLeftCell="A13" activePane="bottomLeft" state="frozen"/>
      <selection pane="topLeft" activeCell="M33" sqref="M33"/>
      <selection pane="bottomLeft" activeCell="K36" sqref="K36"/>
    </sheetView>
  </sheetViews>
  <sheetFormatPr defaultColWidth="9.140625" defaultRowHeight="12.75"/>
  <cols>
    <col min="1" max="1" width="16.57421875" style="19" customWidth="1"/>
    <col min="2" max="2" width="11.28125" style="19" customWidth="1"/>
    <col min="3" max="3" width="10.421875" style="19" customWidth="1"/>
    <col min="4" max="4" width="10.7109375" style="49" bestFit="1" customWidth="1"/>
    <col min="5" max="5" width="11.00390625" style="49" hidden="1" customWidth="1"/>
    <col min="6" max="6" width="13.28125" style="49" customWidth="1"/>
    <col min="7" max="7" width="13.140625" style="179" hidden="1" customWidth="1"/>
    <col min="8" max="8" width="13.140625" style="184" hidden="1" customWidth="1"/>
    <col min="9" max="9" width="13.140625" style="187" hidden="1" customWidth="1"/>
    <col min="10" max="10" width="13.140625" style="179" hidden="1" customWidth="1"/>
    <col min="11" max="11" width="12.00390625" style="187" bestFit="1" customWidth="1"/>
    <col min="12" max="12" width="9.28125" style="189" bestFit="1" customWidth="1"/>
    <col min="13" max="13" width="8.7109375" style="49" bestFit="1" customWidth="1"/>
    <col min="14" max="14" width="12.00390625" style="49" bestFit="1" customWidth="1"/>
    <col min="15" max="15" width="9.28125" style="49" bestFit="1" customWidth="1"/>
    <col min="16" max="16" width="8.7109375" style="91" bestFit="1" customWidth="1"/>
    <col min="17" max="17" width="10.8515625" style="91" hidden="1" customWidth="1"/>
    <col min="18" max="18" width="10.421875" style="19" customWidth="1"/>
    <col min="19" max="20" width="9.140625" style="19" customWidth="1"/>
    <col min="21" max="21" width="16.57421875" style="19" customWidth="1"/>
    <col min="22" max="22" width="13.57421875" style="19" customWidth="1"/>
    <col min="23" max="23" width="11.28125" style="19" customWidth="1"/>
    <col min="24" max="16384" width="9.140625" style="19" customWidth="1"/>
  </cols>
  <sheetData>
    <row r="1" spans="1:23" s="42" customFormat="1" ht="12.75">
      <c r="A1" s="39" t="s">
        <v>39</v>
      </c>
      <c r="B1" s="133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40"/>
      <c r="O1" s="40"/>
      <c r="P1" s="197"/>
      <c r="Q1" s="26" t="s">
        <v>29</v>
      </c>
      <c r="R1" s="41"/>
      <c r="S1" s="41"/>
      <c r="T1" s="41"/>
      <c r="U1" s="41"/>
      <c r="V1" s="41"/>
      <c r="W1" s="41"/>
    </row>
    <row r="2" spans="1:23" ht="12.75">
      <c r="A2" s="13"/>
      <c r="B2" s="15"/>
      <c r="C2" s="14"/>
      <c r="D2" s="14"/>
      <c r="E2" s="14"/>
      <c r="F2" s="14"/>
      <c r="G2" s="134"/>
      <c r="H2" s="182"/>
      <c r="I2" s="185"/>
      <c r="J2" s="134"/>
      <c r="K2" s="185"/>
      <c r="L2" s="188"/>
      <c r="M2" s="14"/>
      <c r="N2" s="14"/>
      <c r="O2" s="14"/>
      <c r="P2" s="135"/>
      <c r="Q2" s="1" t="s">
        <v>30</v>
      </c>
      <c r="R2" s="43"/>
      <c r="S2" s="44"/>
      <c r="T2" s="44"/>
      <c r="U2" s="44"/>
      <c r="V2" s="44"/>
      <c r="W2" s="44"/>
    </row>
    <row r="3" spans="1:23" ht="12.75">
      <c r="A3" s="13" t="s">
        <v>41</v>
      </c>
      <c r="B3" s="68" t="s">
        <v>43</v>
      </c>
      <c r="C3" s="14"/>
      <c r="D3" s="327" t="s">
        <v>74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14"/>
      <c r="P3" s="135"/>
      <c r="Q3" s="1"/>
      <c r="R3" s="43"/>
      <c r="S3" s="44"/>
      <c r="T3" s="44"/>
      <c r="U3" s="44"/>
      <c r="V3" s="44"/>
      <c r="W3" s="44"/>
    </row>
    <row r="4" spans="1:23" ht="12.75">
      <c r="A4" s="13" t="s">
        <v>31</v>
      </c>
      <c r="B4" s="68" t="s">
        <v>30</v>
      </c>
      <c r="C4" s="14"/>
      <c r="D4" s="327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14"/>
      <c r="P4" s="135"/>
      <c r="Q4" s="1" t="s">
        <v>43</v>
      </c>
      <c r="R4" s="43"/>
      <c r="S4" s="44"/>
      <c r="T4" s="44"/>
      <c r="U4" s="44"/>
      <c r="V4" s="44"/>
      <c r="W4" s="44"/>
    </row>
    <row r="5" spans="1:23" ht="12.75">
      <c r="A5" s="128" t="s">
        <v>7</v>
      </c>
      <c r="B5" s="68"/>
      <c r="C5" s="14"/>
      <c r="D5" s="14"/>
      <c r="E5" s="14"/>
      <c r="F5" s="14"/>
      <c r="G5" s="134"/>
      <c r="H5" s="182"/>
      <c r="I5" s="185"/>
      <c r="J5" s="134"/>
      <c r="K5" s="185"/>
      <c r="L5" s="188"/>
      <c r="M5" s="14"/>
      <c r="N5" s="14"/>
      <c r="O5" s="14"/>
      <c r="P5" s="135"/>
      <c r="Q5" s="1" t="s">
        <v>44</v>
      </c>
      <c r="R5" s="43"/>
      <c r="S5" s="44"/>
      <c r="T5" s="44"/>
      <c r="U5" s="44"/>
      <c r="V5" s="44"/>
      <c r="W5" s="44"/>
    </row>
    <row r="6" spans="1:23" ht="12.75">
      <c r="A6" s="128" t="s">
        <v>51</v>
      </c>
      <c r="B6" s="68"/>
      <c r="C6" s="14"/>
      <c r="D6" s="14"/>
      <c r="E6" s="14"/>
      <c r="F6" s="14"/>
      <c r="G6" s="134"/>
      <c r="H6" s="182"/>
      <c r="I6" s="185"/>
      <c r="J6" s="134"/>
      <c r="K6" s="185"/>
      <c r="L6" s="188"/>
      <c r="M6" s="14"/>
      <c r="N6" s="14"/>
      <c r="O6" s="14"/>
      <c r="P6" s="135"/>
      <c r="Q6" s="1" t="s">
        <v>70</v>
      </c>
      <c r="R6" s="43"/>
      <c r="S6" s="44"/>
      <c r="T6" s="44"/>
      <c r="U6" s="44"/>
      <c r="V6" s="44"/>
      <c r="W6" s="44"/>
    </row>
    <row r="7" spans="1:23" ht="12.75">
      <c r="A7" s="128" t="s">
        <v>50</v>
      </c>
      <c r="B7" s="68"/>
      <c r="C7" s="14"/>
      <c r="D7" s="14"/>
      <c r="E7" s="14"/>
      <c r="F7" s="14"/>
      <c r="G7" s="134"/>
      <c r="H7" s="182"/>
      <c r="I7" s="185"/>
      <c r="J7" s="134"/>
      <c r="K7" s="185"/>
      <c r="L7" s="188"/>
      <c r="M7" s="14"/>
      <c r="N7" s="14"/>
      <c r="O7" s="14"/>
      <c r="P7" s="135"/>
      <c r="Q7" s="1" t="s">
        <v>71</v>
      </c>
      <c r="R7" s="43"/>
      <c r="S7" s="44"/>
      <c r="T7" s="44"/>
      <c r="U7" s="44"/>
      <c r="V7" s="44"/>
      <c r="W7" s="44"/>
    </row>
    <row r="8" spans="1:23" ht="13.5" thickBot="1">
      <c r="A8" s="13"/>
      <c r="B8" s="15"/>
      <c r="C8" s="14"/>
      <c r="D8" s="14"/>
      <c r="E8" s="14"/>
      <c r="F8" s="14"/>
      <c r="G8" s="134"/>
      <c r="H8" s="182"/>
      <c r="I8" s="185"/>
      <c r="J8" s="134"/>
      <c r="K8" s="185"/>
      <c r="L8" s="188"/>
      <c r="M8" s="14"/>
      <c r="N8" s="14"/>
      <c r="O8" s="14"/>
      <c r="P8" s="135"/>
      <c r="Q8" s="1" t="s">
        <v>73</v>
      </c>
      <c r="R8" s="43"/>
      <c r="S8" s="44"/>
      <c r="T8" s="44"/>
      <c r="U8" s="44"/>
      <c r="V8" s="44"/>
      <c r="W8" s="44"/>
    </row>
    <row r="9" spans="1:24" ht="21">
      <c r="A9" s="198" t="s">
        <v>6</v>
      </c>
      <c r="B9" s="173" t="s">
        <v>0</v>
      </c>
      <c r="C9" s="173" t="s">
        <v>31</v>
      </c>
      <c r="D9" s="173" t="s">
        <v>55</v>
      </c>
      <c r="E9" s="183" t="s">
        <v>55</v>
      </c>
      <c r="F9" s="173" t="s">
        <v>69</v>
      </c>
      <c r="G9" s="183" t="s">
        <v>1</v>
      </c>
      <c r="H9" s="186" t="s">
        <v>56</v>
      </c>
      <c r="I9" s="173" t="s">
        <v>57</v>
      </c>
      <c r="J9" s="186" t="s">
        <v>58</v>
      </c>
      <c r="K9" s="183" t="s">
        <v>21</v>
      </c>
      <c r="L9" s="173" t="s">
        <v>22</v>
      </c>
      <c r="M9" s="173" t="s">
        <v>2</v>
      </c>
      <c r="N9" s="183" t="s">
        <v>62</v>
      </c>
      <c r="O9" s="173" t="s">
        <v>63</v>
      </c>
      <c r="P9" s="174" t="s">
        <v>2</v>
      </c>
      <c r="Q9" s="47"/>
      <c r="R9" s="41"/>
      <c r="S9" s="43"/>
      <c r="T9" s="22"/>
      <c r="U9" s="22"/>
      <c r="V9" s="22"/>
      <c r="W9" s="22"/>
      <c r="X9" s="22"/>
    </row>
    <row r="10" spans="1:24" ht="13.5" customHeight="1" thickBot="1">
      <c r="A10" s="159"/>
      <c r="B10" s="158"/>
      <c r="C10" s="158"/>
      <c r="D10" s="158" t="s">
        <v>59</v>
      </c>
      <c r="E10" s="194" t="s">
        <v>60</v>
      </c>
      <c r="F10" s="158" t="s">
        <v>9</v>
      </c>
      <c r="G10" s="194" t="s">
        <v>61</v>
      </c>
      <c r="H10" s="195"/>
      <c r="I10" s="158" t="s">
        <v>60</v>
      </c>
      <c r="J10" s="195"/>
      <c r="K10" s="194" t="s">
        <v>17</v>
      </c>
      <c r="L10" s="158" t="s">
        <v>17</v>
      </c>
      <c r="M10" s="158" t="s">
        <v>17</v>
      </c>
      <c r="N10" s="194" t="s">
        <v>8</v>
      </c>
      <c r="O10" s="158" t="s">
        <v>8</v>
      </c>
      <c r="P10" s="196" t="s">
        <v>8</v>
      </c>
      <c r="Q10" s="47"/>
      <c r="R10" s="41"/>
      <c r="S10" s="43"/>
      <c r="T10" s="22"/>
      <c r="U10" s="22"/>
      <c r="V10" s="22"/>
      <c r="W10" s="22"/>
      <c r="X10" s="22"/>
    </row>
    <row r="11" spans="1:24" ht="12.75" hidden="1">
      <c r="A11" s="59" t="s">
        <v>3</v>
      </c>
      <c r="B11" s="5"/>
      <c r="C11" s="218"/>
      <c r="D11" s="175"/>
      <c r="E11" s="180">
        <f>ROUND((D11*9.8692*10^-4),2)</f>
        <v>0</v>
      </c>
      <c r="F11" s="7"/>
      <c r="G11" s="60">
        <f>F11+273.15</f>
        <v>273.15</v>
      </c>
      <c r="H11" s="190">
        <f>EXP(-139.34411+(1.575701*10^5/G11)-(6.642308*10^7/G11^2)+(1.2438*10^10/G11^3)-(8.621949*10^11/G11^4-0*((1.7674*10^-2)-(1.0754*10^1/G11)+(2.1407*10^3/G11^2))))</f>
        <v>14.62083370021845</v>
      </c>
      <c r="I11" s="190">
        <f>EXP(11.8571-(3840.7/G11)-(216961/G11^2))</f>
        <v>0.006026607028536603</v>
      </c>
      <c r="J11" s="190">
        <f>0.000975-(1.426*10^-5*F11)+(6.436*10^-8*F11^2)</f>
        <v>0.000975</v>
      </c>
      <c r="K11" s="60" t="e">
        <f>H11*E11*(((1-I11/E11)*(1-J11*E11))/((1-I11)*(1-J11)))</f>
        <v>#DIV/0!</v>
      </c>
      <c r="L11" s="51"/>
      <c r="M11" s="177" t="e">
        <f>ROUND(ABS(K11-L11),2)</f>
        <v>#DIV/0!</v>
      </c>
      <c r="N11" s="33">
        <f>D11/1013*100</f>
        <v>0</v>
      </c>
      <c r="O11" s="7"/>
      <c r="P11" s="34">
        <f aca="true" t="shared" si="0" ref="P11:P20">ABS(N11-O11)</f>
        <v>0</v>
      </c>
      <c r="Q11" s="47"/>
      <c r="R11" s="41"/>
      <c r="S11" s="43"/>
      <c r="T11" s="22"/>
      <c r="U11" s="22"/>
      <c r="V11" s="22"/>
      <c r="W11" s="22"/>
      <c r="X11" s="22"/>
    </row>
    <row r="12" spans="1:17" ht="14.25" customHeight="1" hidden="1" thickBot="1">
      <c r="A12" s="64" t="s">
        <v>4</v>
      </c>
      <c r="B12" s="82"/>
      <c r="C12" s="48"/>
      <c r="D12" s="176"/>
      <c r="E12" s="181">
        <f>ROUND((D12*9.8692*10^-4),2)</f>
        <v>0</v>
      </c>
      <c r="F12" s="9"/>
      <c r="G12" s="66">
        <f>F12+273.15</f>
        <v>273.15</v>
      </c>
      <c r="H12" s="191">
        <f>EXP(-139.34411+(1.575701*10^5/G12)-(6.642308*10^7/G12^2)+(1.2438*10^10/G12^3)-(8.621949*10^11/G12^4-0*((1.7674*10^-2)-(1.0754*10^1/G12)+(2.1407*10^3/G12^2))))</f>
        <v>14.62083370021845</v>
      </c>
      <c r="I12" s="191">
        <f>EXP(11.8571-(3840.7/G12)-(216961/G12^2))</f>
        <v>0.006026607028536603</v>
      </c>
      <c r="J12" s="191">
        <f>0.000975-(1.426*10^-5*F12)+(6.436*10^-8*F12^2)</f>
        <v>0.000975</v>
      </c>
      <c r="K12" s="66" t="e">
        <f>H12*E12*(((1-I12/E12)*(1-J12*E12))/((1-I12)*(1-J12)))</f>
        <v>#DIV/0!</v>
      </c>
      <c r="L12" s="74"/>
      <c r="M12" s="178" t="e">
        <f>ROUND(ABS(K12-L12),2)</f>
        <v>#DIV/0!</v>
      </c>
      <c r="N12" s="36">
        <f>D12/1013*100</f>
        <v>0</v>
      </c>
      <c r="O12" s="9"/>
      <c r="P12" s="37">
        <f t="shared" si="0"/>
        <v>0</v>
      </c>
      <c r="Q12" s="19"/>
    </row>
    <row r="13" spans="1:16" ht="12.75">
      <c r="A13" s="59" t="s">
        <v>3</v>
      </c>
      <c r="B13" s="5">
        <v>44203</v>
      </c>
      <c r="C13" s="218"/>
      <c r="D13" s="175">
        <v>1008</v>
      </c>
      <c r="E13" s="180">
        <f aca="true" t="shared" si="1" ref="E13:E20">ROUND((D13*9.8692*10^-4),2)</f>
        <v>0.99</v>
      </c>
      <c r="F13" s="7">
        <v>6</v>
      </c>
      <c r="G13" s="60">
        <f aca="true" t="shared" si="2" ref="G13:G20">F13+273.15</f>
        <v>279.15</v>
      </c>
      <c r="H13" s="190">
        <f aca="true" t="shared" si="3" ref="H13:H20">EXP(-139.34411+(1.575701*10^5/G13)-(6.642308*10^7/G13^2)+(1.2438*10^10/G13^3)-(8.621949*10^11/G13^4-0*((1.7674*10^-2)-(1.0754*10^1/G13)+(2.1407*10^3/G13^2))))</f>
        <v>12.448218221517504</v>
      </c>
      <c r="I13" s="190">
        <f aca="true" t="shared" si="4" ref="I13:I20">EXP(11.8571-(3840.7/G13)-(216961/G13^2))</f>
        <v>0.009226356173507321</v>
      </c>
      <c r="J13" s="190">
        <f aca="true" t="shared" si="5" ref="J13:J20">0.000975-(1.426*10^-5*F13)+(6.436*10^-8*F13^2)</f>
        <v>0.0008917569599999999</v>
      </c>
      <c r="K13" s="60">
        <f aca="true" t="shared" si="6" ref="K13:K20">H13*E13*(((1-I13/E13)*(1-J13*E13))/((1-I13)*(1-J13)))</f>
        <v>12.322686812563662</v>
      </c>
      <c r="L13" s="51">
        <v>12.31</v>
      </c>
      <c r="M13" s="177">
        <f aca="true" t="shared" si="7" ref="M13:M20">ROUND(ABS(K13-L13),2)</f>
        <v>0.01</v>
      </c>
      <c r="N13" s="33">
        <f aca="true" t="shared" si="8" ref="N13:N20">D13/1013*100</f>
        <v>99.50641658440277</v>
      </c>
      <c r="O13" s="7">
        <v>100</v>
      </c>
      <c r="P13" s="34">
        <f t="shared" si="0"/>
        <v>0.49358341559722874</v>
      </c>
    </row>
    <row r="14" spans="1:16" ht="13.5" thickBot="1">
      <c r="A14" s="64" t="s">
        <v>4</v>
      </c>
      <c r="B14" s="82"/>
      <c r="C14" s="48"/>
      <c r="D14" s="176">
        <v>1008</v>
      </c>
      <c r="E14" s="181">
        <f t="shared" si="1"/>
        <v>0.99</v>
      </c>
      <c r="F14" s="9">
        <v>6.8</v>
      </c>
      <c r="G14" s="66">
        <f t="shared" si="2"/>
        <v>279.95</v>
      </c>
      <c r="H14" s="191">
        <f t="shared" si="3"/>
        <v>12.199965941768557</v>
      </c>
      <c r="I14" s="191">
        <f t="shared" si="4"/>
        <v>0.009750040119066246</v>
      </c>
      <c r="J14" s="191">
        <f t="shared" si="5"/>
        <v>0.0008810080064</v>
      </c>
      <c r="K14" s="66">
        <f t="shared" si="6"/>
        <v>12.076871559984347</v>
      </c>
      <c r="L14" s="74">
        <v>12</v>
      </c>
      <c r="M14" s="178">
        <f t="shared" si="7"/>
        <v>0.08</v>
      </c>
      <c r="N14" s="36">
        <f t="shared" si="8"/>
        <v>99.50641658440277</v>
      </c>
      <c r="O14" s="9">
        <v>101</v>
      </c>
      <c r="P14" s="37">
        <f t="shared" si="0"/>
        <v>1.4935834155972287</v>
      </c>
    </row>
    <row r="15" spans="1:16" ht="12.75">
      <c r="A15" s="59" t="s">
        <v>3</v>
      </c>
      <c r="B15" s="5">
        <v>44204</v>
      </c>
      <c r="C15" s="218"/>
      <c r="D15" s="175">
        <v>998</v>
      </c>
      <c r="E15" s="180">
        <f t="shared" si="1"/>
        <v>0.98</v>
      </c>
      <c r="F15" s="7">
        <v>5</v>
      </c>
      <c r="G15" s="60">
        <f t="shared" si="2"/>
        <v>278.15</v>
      </c>
      <c r="H15" s="190">
        <f t="shared" si="3"/>
        <v>12.771000356768734</v>
      </c>
      <c r="I15" s="190">
        <f t="shared" si="4"/>
        <v>0.008606726127843946</v>
      </c>
      <c r="J15" s="190">
        <f t="shared" si="5"/>
        <v>0.0009053089999999999</v>
      </c>
      <c r="K15" s="60">
        <f t="shared" si="6"/>
        <v>12.513589709405782</v>
      </c>
      <c r="L15" s="51">
        <v>12.57</v>
      </c>
      <c r="M15" s="177">
        <f t="shared" si="7"/>
        <v>0.06</v>
      </c>
      <c r="N15" s="33">
        <f t="shared" si="8"/>
        <v>98.5192497532083</v>
      </c>
      <c r="O15" s="7">
        <v>100.5</v>
      </c>
      <c r="P15" s="34">
        <f t="shared" si="0"/>
        <v>1.9807502467917004</v>
      </c>
    </row>
    <row r="16" spans="1:16" ht="13.5" thickBot="1">
      <c r="A16" s="64" t="s">
        <v>4</v>
      </c>
      <c r="B16" s="82"/>
      <c r="C16" s="48"/>
      <c r="D16" s="176">
        <v>997</v>
      </c>
      <c r="E16" s="181">
        <f t="shared" si="1"/>
        <v>0.98</v>
      </c>
      <c r="F16" s="9">
        <v>5.8</v>
      </c>
      <c r="G16" s="66">
        <f t="shared" si="2"/>
        <v>278.95</v>
      </c>
      <c r="H16" s="191">
        <f t="shared" si="3"/>
        <v>12.511646186888475</v>
      </c>
      <c r="I16" s="191">
        <f t="shared" si="4"/>
        <v>0.009099375400346211</v>
      </c>
      <c r="J16" s="191">
        <f t="shared" si="5"/>
        <v>0.0008944570703999999</v>
      </c>
      <c r="K16" s="66">
        <f t="shared" si="6"/>
        <v>12.259334892018776</v>
      </c>
      <c r="L16" s="74">
        <v>12.31</v>
      </c>
      <c r="M16" s="178">
        <f t="shared" si="7"/>
        <v>0.05</v>
      </c>
      <c r="N16" s="36">
        <f t="shared" si="8"/>
        <v>98.42053307008885</v>
      </c>
      <c r="O16" s="9">
        <v>100</v>
      </c>
      <c r="P16" s="37">
        <f t="shared" si="0"/>
        <v>1.579466929911149</v>
      </c>
    </row>
    <row r="17" spans="1:16" ht="12.75">
      <c r="A17" s="59" t="s">
        <v>3</v>
      </c>
      <c r="B17" s="5">
        <v>44205</v>
      </c>
      <c r="C17" s="218"/>
      <c r="D17" s="175">
        <v>1010</v>
      </c>
      <c r="E17" s="180">
        <f t="shared" si="1"/>
        <v>1</v>
      </c>
      <c r="F17" s="7">
        <v>14.6</v>
      </c>
      <c r="G17" s="60">
        <f t="shared" si="2"/>
        <v>287.75</v>
      </c>
      <c r="H17" s="190">
        <f t="shared" si="3"/>
        <v>10.17159615753528</v>
      </c>
      <c r="I17" s="190">
        <f t="shared" si="4"/>
        <v>0.016398751340824917</v>
      </c>
      <c r="J17" s="190">
        <f t="shared" si="5"/>
        <v>0.0007805229775999999</v>
      </c>
      <c r="K17" s="60">
        <f t="shared" si="6"/>
        <v>10.17159615753528</v>
      </c>
      <c r="L17" s="51">
        <v>10.14</v>
      </c>
      <c r="M17" s="177">
        <f t="shared" si="7"/>
        <v>0.03</v>
      </c>
      <c r="N17" s="33">
        <f t="shared" si="8"/>
        <v>99.70384995064165</v>
      </c>
      <c r="O17" s="7">
        <v>99.8</v>
      </c>
      <c r="P17" s="34">
        <f t="shared" si="0"/>
        <v>0.09615004935834293</v>
      </c>
    </row>
    <row r="18" spans="1:16" ht="13.5" thickBot="1">
      <c r="A18" s="64" t="s">
        <v>4</v>
      </c>
      <c r="B18" s="82"/>
      <c r="C18" s="48"/>
      <c r="D18" s="176">
        <v>1010.5</v>
      </c>
      <c r="E18" s="181">
        <f t="shared" si="1"/>
        <v>1</v>
      </c>
      <c r="F18" s="9">
        <v>14.6</v>
      </c>
      <c r="G18" s="66">
        <f t="shared" si="2"/>
        <v>287.75</v>
      </c>
      <c r="H18" s="191">
        <f t="shared" si="3"/>
        <v>10.17159615753528</v>
      </c>
      <c r="I18" s="191">
        <f t="shared" si="4"/>
        <v>0.016398751340824917</v>
      </c>
      <c r="J18" s="191">
        <f t="shared" si="5"/>
        <v>0.0007805229775999999</v>
      </c>
      <c r="K18" s="66">
        <f t="shared" si="6"/>
        <v>10.17159615753528</v>
      </c>
      <c r="L18" s="74">
        <v>10.41</v>
      </c>
      <c r="M18" s="178">
        <f t="shared" si="7"/>
        <v>0.24</v>
      </c>
      <c r="N18" s="36">
        <f t="shared" si="8"/>
        <v>99.75320829220138</v>
      </c>
      <c r="O18" s="9">
        <v>103</v>
      </c>
      <c r="P18" s="37">
        <f t="shared" si="0"/>
        <v>3.2467917077986215</v>
      </c>
    </row>
    <row r="19" spans="1:16" ht="12.75">
      <c r="A19" s="59" t="s">
        <v>3</v>
      </c>
      <c r="B19" s="5"/>
      <c r="C19" s="218"/>
      <c r="D19" s="175"/>
      <c r="E19" s="180">
        <f t="shared" si="1"/>
        <v>0</v>
      </c>
      <c r="F19" s="7"/>
      <c r="G19" s="60">
        <f t="shared" si="2"/>
        <v>273.15</v>
      </c>
      <c r="H19" s="190">
        <f t="shared" si="3"/>
        <v>14.62083370021845</v>
      </c>
      <c r="I19" s="190">
        <f t="shared" si="4"/>
        <v>0.006026607028536603</v>
      </c>
      <c r="J19" s="190">
        <f t="shared" si="5"/>
        <v>0.000975</v>
      </c>
      <c r="K19" s="60" t="e">
        <f t="shared" si="6"/>
        <v>#DIV/0!</v>
      </c>
      <c r="L19" s="51"/>
      <c r="M19" s="177" t="e">
        <f t="shared" si="7"/>
        <v>#DIV/0!</v>
      </c>
      <c r="N19" s="33">
        <f t="shared" si="8"/>
        <v>0</v>
      </c>
      <c r="O19" s="7"/>
      <c r="P19" s="34">
        <f t="shared" si="0"/>
        <v>0</v>
      </c>
    </row>
    <row r="20" spans="1:16" ht="13.5" thickBot="1">
      <c r="A20" s="64" t="s">
        <v>4</v>
      </c>
      <c r="B20" s="82"/>
      <c r="C20" s="48"/>
      <c r="D20" s="176"/>
      <c r="E20" s="181">
        <f t="shared" si="1"/>
        <v>0</v>
      </c>
      <c r="F20" s="9"/>
      <c r="G20" s="66">
        <f t="shared" si="2"/>
        <v>273.15</v>
      </c>
      <c r="H20" s="191">
        <f t="shared" si="3"/>
        <v>14.62083370021845</v>
      </c>
      <c r="I20" s="191">
        <f t="shared" si="4"/>
        <v>0.006026607028536603</v>
      </c>
      <c r="J20" s="191">
        <f t="shared" si="5"/>
        <v>0.000975</v>
      </c>
      <c r="K20" s="66" t="e">
        <f t="shared" si="6"/>
        <v>#DIV/0!</v>
      </c>
      <c r="L20" s="74"/>
      <c r="M20" s="178" t="e">
        <f t="shared" si="7"/>
        <v>#DIV/0!</v>
      </c>
      <c r="N20" s="36">
        <f t="shared" si="8"/>
        <v>0</v>
      </c>
      <c r="O20" s="9"/>
      <c r="P20" s="37">
        <f t="shared" si="0"/>
        <v>0</v>
      </c>
    </row>
  </sheetData>
  <sheetProtection sheet="1" objects="1" scenarios="1"/>
  <mergeCells count="3">
    <mergeCell ref="C1:M1"/>
    <mergeCell ref="D4:N4"/>
    <mergeCell ref="D3:N3"/>
  </mergeCells>
  <conditionalFormatting sqref="C11">
    <cfRule type="expression" priority="46" dxfId="14" stopIfTrue="1">
      <formula>ISBLANK($C11)</formula>
    </cfRule>
    <cfRule type="cellIs" priority="47" dxfId="1" operator="between" stopIfTrue="1">
      <formula>$B$6</formula>
      <formula>$B$7</formula>
    </cfRule>
    <cfRule type="cellIs" priority="48" dxfId="0" operator="notBetween" stopIfTrue="1">
      <formula>$B$6</formula>
      <formula>$B$7</formula>
    </cfRule>
  </conditionalFormatting>
  <conditionalFormatting sqref="B5:B7">
    <cfRule type="expression" priority="79" dxfId="14" stopIfTrue="1">
      <formula>$B$4="ja"</formula>
    </cfRule>
    <cfRule type="expression" priority="80" dxfId="10" stopIfTrue="1">
      <formula>$B$4="nee"</formula>
    </cfRule>
  </conditionalFormatting>
  <conditionalFormatting sqref="P11:P12">
    <cfRule type="expression" priority="430" dxfId="10" stopIfTrue="1">
      <formula>ISBLANK(O11)</formula>
    </cfRule>
  </conditionalFormatting>
  <conditionalFormatting sqref="M11:M12">
    <cfRule type="expression" priority="433" dxfId="10" stopIfTrue="1">
      <formula>ISBLANK($L11)</formula>
    </cfRule>
  </conditionalFormatting>
  <conditionalFormatting sqref="C13">
    <cfRule type="expression" priority="28" dxfId="14" stopIfTrue="1">
      <formula>ISBLANK($C13)</formula>
    </cfRule>
    <cfRule type="cellIs" priority="29" dxfId="1" operator="between" stopIfTrue="1">
      <formula>$B$6</formula>
      <formula>$B$7</formula>
    </cfRule>
    <cfRule type="cellIs" priority="30" dxfId="0" operator="notBetween" stopIfTrue="1">
      <formula>$B$6</formula>
      <formula>$B$7</formula>
    </cfRule>
  </conditionalFormatting>
  <conditionalFormatting sqref="P13:P14">
    <cfRule type="expression" priority="31" dxfId="10" stopIfTrue="1">
      <formula>ISBLANK(O13)</formula>
    </cfRule>
  </conditionalFormatting>
  <conditionalFormatting sqref="M13:M14">
    <cfRule type="expression" priority="34" dxfId="10" stopIfTrue="1">
      <formula>ISBLANK($L13)</formula>
    </cfRule>
  </conditionalFormatting>
  <conditionalFormatting sqref="C15">
    <cfRule type="expression" priority="19" dxfId="14" stopIfTrue="1">
      <formula>ISBLANK($C15)</formula>
    </cfRule>
    <cfRule type="cellIs" priority="20" dxfId="1" operator="between" stopIfTrue="1">
      <formula>$B$6</formula>
      <formula>$B$7</formula>
    </cfRule>
    <cfRule type="cellIs" priority="21" dxfId="0" operator="notBetween" stopIfTrue="1">
      <formula>$B$6</formula>
      <formula>$B$7</formula>
    </cfRule>
  </conditionalFormatting>
  <conditionalFormatting sqref="P15:P16">
    <cfRule type="expression" priority="22" dxfId="10" stopIfTrue="1">
      <formula>ISBLANK(O15)</formula>
    </cfRule>
  </conditionalFormatting>
  <conditionalFormatting sqref="M15:M16">
    <cfRule type="expression" priority="25" dxfId="10" stopIfTrue="1">
      <formula>ISBLANK($L15)</formula>
    </cfRule>
  </conditionalFormatting>
  <conditionalFormatting sqref="C17">
    <cfRule type="expression" priority="10" dxfId="14" stopIfTrue="1">
      <formula>ISBLANK($C17)</formula>
    </cfRule>
    <cfRule type="cellIs" priority="11" dxfId="1" operator="between" stopIfTrue="1">
      <formula>$B$6</formula>
      <formula>$B$7</formula>
    </cfRule>
    <cfRule type="cellIs" priority="12" dxfId="0" operator="notBetween" stopIfTrue="1">
      <formula>$B$6</formula>
      <formula>$B$7</formula>
    </cfRule>
  </conditionalFormatting>
  <conditionalFormatting sqref="P17:P18">
    <cfRule type="expression" priority="13" dxfId="10" stopIfTrue="1">
      <formula>ISBLANK(O17)</formula>
    </cfRule>
  </conditionalFormatting>
  <conditionalFormatting sqref="M17:M18">
    <cfRule type="expression" priority="16" dxfId="10" stopIfTrue="1">
      <formula>ISBLANK($L17)</formula>
    </cfRule>
  </conditionalFormatting>
  <conditionalFormatting sqref="C19">
    <cfRule type="expression" priority="1" dxfId="14" stopIfTrue="1">
      <formula>ISBLANK($C19)</formula>
    </cfRule>
    <cfRule type="cellIs" priority="2" dxfId="1" operator="between" stopIfTrue="1">
      <formula>$B$6</formula>
      <formula>$B$7</formula>
    </cfRule>
    <cfRule type="cellIs" priority="3" dxfId="0" operator="notBetween" stopIfTrue="1">
      <formula>$B$6</formula>
      <formula>$B$7</formula>
    </cfRule>
  </conditionalFormatting>
  <conditionalFormatting sqref="P19:P20">
    <cfRule type="expression" priority="4" dxfId="10" stopIfTrue="1">
      <formula>ISBLANK(O19)</formula>
    </cfRule>
  </conditionalFormatting>
  <conditionalFormatting sqref="M19:M20">
    <cfRule type="expression" priority="7" dxfId="10" stopIfTrue="1">
      <formula>ISBLANK($L19)</formula>
    </cfRule>
  </conditionalFormatting>
  <dataValidations count="3">
    <dataValidation allowBlank="1" showInputMessage="1" showErrorMessage="1" promptTitle="Eenheid" prompt="Eenheid steilheid aangeven indien bekend" sqref="B5"/>
    <dataValidation type="list" allowBlank="1" showInputMessage="1" showErrorMessage="1" promptTitle="Steilheid registratie" prompt="Keuzemenu" sqref="B4">
      <formula1>$Q$1:$Q$2</formula1>
    </dataValidation>
    <dataValidation type="list" showInputMessage="1" showErrorMessage="1" promptTitle="Toetsingsfrequentie" prompt="Keuzemenu&#10;" sqref="B3">
      <formula1>$Q$4:$Q$8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O33"/>
  <sheetViews>
    <sheetView zoomScalePageLayoutView="0" workbookViewId="0" topLeftCell="A1">
      <pane ySplit="23" topLeftCell="A24" activePane="bottomLeft" state="frozen"/>
      <selection pane="topLeft" activeCell="M33" sqref="M33"/>
      <selection pane="bottomLeft" activeCell="H23" sqref="H23"/>
    </sheetView>
  </sheetViews>
  <sheetFormatPr defaultColWidth="9.140625" defaultRowHeight="12.75"/>
  <cols>
    <col min="1" max="1" width="16.7109375" style="19" customWidth="1"/>
    <col min="2" max="2" width="12.421875" style="19" customWidth="1"/>
    <col min="3" max="3" width="10.7109375" style="49" customWidth="1"/>
    <col min="4" max="4" width="11.28125" style="19" customWidth="1"/>
    <col min="5" max="5" width="13.57421875" style="172" customWidth="1"/>
    <col min="6" max="6" width="12.57421875" style="19" customWidth="1"/>
    <col min="7" max="7" width="9.140625" style="19" customWidth="1"/>
    <col min="8" max="8" width="11.28125" style="19" customWidth="1"/>
    <col min="9" max="9" width="12.7109375" style="19" hidden="1" customWidth="1"/>
    <col min="10" max="10" width="13.57421875" style="19" customWidth="1"/>
    <col min="11" max="11" width="11.28125" style="19" customWidth="1"/>
    <col min="12" max="16384" width="9.140625" style="19" customWidth="1"/>
  </cols>
  <sheetData>
    <row r="1" spans="1:9" s="53" customFormat="1" ht="12.75" customHeight="1">
      <c r="A1" s="39" t="s">
        <v>16</v>
      </c>
      <c r="B1" s="11"/>
      <c r="C1" s="10"/>
      <c r="D1" s="11"/>
      <c r="E1" s="166"/>
      <c r="F1" s="11"/>
      <c r="G1" s="11"/>
      <c r="H1" s="12"/>
      <c r="I1" s="26" t="s">
        <v>29</v>
      </c>
    </row>
    <row r="2" spans="1:13" s="53" customFormat="1" ht="12.75" customHeight="1">
      <c r="A2" s="13"/>
      <c r="B2" s="167"/>
      <c r="C2" s="16"/>
      <c r="D2" s="223" t="s">
        <v>76</v>
      </c>
      <c r="E2" s="167"/>
      <c r="F2" s="16"/>
      <c r="G2" s="223" t="s">
        <v>77</v>
      </c>
      <c r="H2" s="58"/>
      <c r="I2" s="1" t="s">
        <v>30</v>
      </c>
      <c r="J2" s="44"/>
      <c r="K2" s="44"/>
      <c r="L2" s="44"/>
      <c r="M2" s="44"/>
    </row>
    <row r="3" spans="1:13" ht="12.75" customHeight="1">
      <c r="A3" s="13" t="s">
        <v>41</v>
      </c>
      <c r="B3" s="68" t="s">
        <v>43</v>
      </c>
      <c r="C3" s="167"/>
      <c r="D3" s="167"/>
      <c r="E3" s="167"/>
      <c r="F3" s="167"/>
      <c r="G3" s="222"/>
      <c r="H3" s="58"/>
      <c r="I3" s="1"/>
      <c r="J3" s="22"/>
      <c r="K3" s="22"/>
      <c r="L3" s="22"/>
      <c r="M3" s="22"/>
    </row>
    <row r="4" spans="1:13" ht="12.75" customHeight="1">
      <c r="A4" s="13" t="s">
        <v>31</v>
      </c>
      <c r="B4" s="68" t="s">
        <v>30</v>
      </c>
      <c r="C4" s="167"/>
      <c r="D4" s="167"/>
      <c r="E4" s="167"/>
      <c r="F4" s="15" t="s">
        <v>72</v>
      </c>
      <c r="G4" s="54"/>
      <c r="H4" s="58"/>
      <c r="I4" s="1" t="s">
        <v>43</v>
      </c>
      <c r="J4" s="22"/>
      <c r="K4" s="22"/>
      <c r="L4" s="22"/>
      <c r="M4" s="22"/>
    </row>
    <row r="5" spans="1:13" ht="12.75" customHeight="1">
      <c r="A5" s="128" t="s">
        <v>7</v>
      </c>
      <c r="B5" s="68"/>
      <c r="C5" s="167"/>
      <c r="D5" s="167"/>
      <c r="E5" s="15" t="s">
        <v>11</v>
      </c>
      <c r="F5" s="14"/>
      <c r="G5" s="69" t="s">
        <v>142</v>
      </c>
      <c r="H5" s="18"/>
      <c r="I5" s="1" t="s">
        <v>44</v>
      </c>
      <c r="J5" s="1"/>
      <c r="K5" s="1"/>
      <c r="L5" s="22"/>
      <c r="M5" s="22"/>
    </row>
    <row r="6" spans="1:13" ht="12.75" customHeight="1">
      <c r="A6" s="128" t="s">
        <v>51</v>
      </c>
      <c r="B6" s="68"/>
      <c r="C6" s="167"/>
      <c r="D6" s="167"/>
      <c r="E6" s="15" t="s">
        <v>14</v>
      </c>
      <c r="F6" s="68" t="s">
        <v>142</v>
      </c>
      <c r="G6" s="68" t="s">
        <v>142</v>
      </c>
      <c r="H6" s="71" t="s">
        <v>142</v>
      </c>
      <c r="I6" s="1" t="s">
        <v>70</v>
      </c>
      <c r="J6" s="22"/>
      <c r="K6" s="22"/>
      <c r="L6" s="22"/>
      <c r="M6" s="22"/>
    </row>
    <row r="7" spans="1:13" ht="12.75" customHeight="1">
      <c r="A7" s="128" t="s">
        <v>50</v>
      </c>
      <c r="B7" s="68"/>
      <c r="C7" s="167"/>
      <c r="D7" s="167"/>
      <c r="E7" s="168"/>
      <c r="F7" s="16"/>
      <c r="G7" s="16"/>
      <c r="H7" s="55"/>
      <c r="I7" s="1" t="s">
        <v>71</v>
      </c>
      <c r="J7" s="1"/>
      <c r="K7" s="1"/>
      <c r="L7" s="22"/>
      <c r="M7" s="22"/>
    </row>
    <row r="8" spans="1:13" ht="12.75" customHeight="1">
      <c r="A8" s="111"/>
      <c r="B8" s="167"/>
      <c r="C8" s="167"/>
      <c r="D8" s="167"/>
      <c r="E8" s="168" t="s">
        <v>78</v>
      </c>
      <c r="F8" s="15"/>
      <c r="G8" s="70">
        <v>0.01</v>
      </c>
      <c r="H8" s="18"/>
      <c r="I8" s="1" t="s">
        <v>73</v>
      </c>
      <c r="J8" s="1"/>
      <c r="K8" s="1"/>
      <c r="L8" s="22"/>
      <c r="M8" s="22"/>
    </row>
    <row r="9" spans="1:13" ht="12.75" customHeight="1">
      <c r="A9" s="111"/>
      <c r="B9" s="15"/>
      <c r="C9" s="15"/>
      <c r="D9" s="15"/>
      <c r="E9" s="168"/>
      <c r="F9" s="20" t="s">
        <v>20</v>
      </c>
      <c r="G9" s="20" t="s">
        <v>20</v>
      </c>
      <c r="H9" s="135" t="s">
        <v>20</v>
      </c>
      <c r="I9" s="49"/>
      <c r="J9" s="57"/>
      <c r="K9" s="57"/>
      <c r="L9" s="22"/>
      <c r="M9" s="22"/>
    </row>
    <row r="10" spans="1:13" ht="12.75" customHeight="1">
      <c r="A10" s="13"/>
      <c r="B10" s="129"/>
      <c r="C10" s="167"/>
      <c r="D10" s="167"/>
      <c r="E10" s="168" t="s">
        <v>1</v>
      </c>
      <c r="F10" s="20" t="s">
        <v>45</v>
      </c>
      <c r="G10" s="75" t="s">
        <v>46</v>
      </c>
      <c r="H10" s="135" t="s">
        <v>47</v>
      </c>
      <c r="I10" s="49"/>
      <c r="J10" s="57"/>
      <c r="K10" s="57"/>
      <c r="L10" s="22"/>
      <c r="M10" s="22"/>
    </row>
    <row r="11" spans="1:13" ht="12.75" customHeight="1">
      <c r="A11" s="13"/>
      <c r="B11" s="2"/>
      <c r="C11" s="167"/>
      <c r="D11" s="167"/>
      <c r="E11" s="169" t="str">
        <f>Randvoorwaarden_Specificaties!C10</f>
        <v>°C</v>
      </c>
      <c r="F11" s="52">
        <v>7</v>
      </c>
      <c r="G11" s="112">
        <v>9</v>
      </c>
      <c r="H11" s="56">
        <v>8</v>
      </c>
      <c r="I11" s="213">
        <v>9</v>
      </c>
      <c r="J11" s="57"/>
      <c r="K11" s="57"/>
      <c r="L11" s="22"/>
      <c r="M11" s="22"/>
    </row>
    <row r="12" spans="1:13" ht="12.75" customHeight="1">
      <c r="A12" s="13"/>
      <c r="B12" s="2"/>
      <c r="C12" s="167"/>
      <c r="D12" s="167"/>
      <c r="E12" s="169">
        <v>0</v>
      </c>
      <c r="F12" s="72">
        <v>7.13</v>
      </c>
      <c r="G12" s="72">
        <v>9.24</v>
      </c>
      <c r="H12" s="73">
        <v>8.15</v>
      </c>
      <c r="I12" s="213">
        <v>10</v>
      </c>
      <c r="J12" s="57"/>
      <c r="K12" s="57"/>
      <c r="L12" s="22"/>
      <c r="M12" s="22"/>
    </row>
    <row r="13" spans="1:13" ht="12.75" customHeight="1">
      <c r="A13" s="13"/>
      <c r="B13" s="2"/>
      <c r="C13" s="167"/>
      <c r="D13" s="167"/>
      <c r="E13" s="169">
        <v>5</v>
      </c>
      <c r="F13" s="72">
        <v>7.09</v>
      </c>
      <c r="G13" s="72">
        <v>9.17</v>
      </c>
      <c r="H13" s="73">
        <v>8.11</v>
      </c>
      <c r="J13" s="57"/>
      <c r="K13" s="57"/>
      <c r="L13" s="22"/>
      <c r="M13" s="22"/>
    </row>
    <row r="14" spans="1:13" ht="12.75" customHeight="1">
      <c r="A14" s="13"/>
      <c r="B14" s="2"/>
      <c r="C14" s="167"/>
      <c r="D14" s="167"/>
      <c r="E14" s="169">
        <v>10</v>
      </c>
      <c r="F14" s="72">
        <v>7.05</v>
      </c>
      <c r="G14" s="72">
        <v>9.11</v>
      </c>
      <c r="H14" s="73">
        <v>8.07</v>
      </c>
      <c r="J14" s="57"/>
      <c r="K14" s="57"/>
      <c r="L14" s="22"/>
      <c r="M14" s="22"/>
    </row>
    <row r="15" spans="1:15" ht="12.75" customHeight="1">
      <c r="A15" s="13"/>
      <c r="B15" s="2"/>
      <c r="C15" s="167"/>
      <c r="D15" s="167"/>
      <c r="E15" s="169">
        <v>15</v>
      </c>
      <c r="F15" s="72">
        <v>7.02</v>
      </c>
      <c r="G15" s="72">
        <v>9.05</v>
      </c>
      <c r="H15" s="73">
        <v>8.04</v>
      </c>
      <c r="J15" s="57"/>
      <c r="K15" s="57"/>
      <c r="L15" s="22"/>
      <c r="M15" s="22"/>
      <c r="N15" s="22"/>
      <c r="O15" s="22"/>
    </row>
    <row r="16" spans="1:15" ht="12.75" customHeight="1">
      <c r="A16" s="128"/>
      <c r="B16" s="2"/>
      <c r="C16" s="167"/>
      <c r="D16" s="167"/>
      <c r="E16" s="169">
        <v>20</v>
      </c>
      <c r="F16" s="72">
        <v>7</v>
      </c>
      <c r="G16" s="72">
        <v>9</v>
      </c>
      <c r="H16" s="73">
        <v>8</v>
      </c>
      <c r="J16" s="57"/>
      <c r="K16" s="57"/>
      <c r="L16" s="22"/>
      <c r="M16" s="22"/>
      <c r="N16" s="22"/>
      <c r="O16" s="22"/>
    </row>
    <row r="17" spans="1:15" ht="12.75" customHeight="1">
      <c r="A17" s="128"/>
      <c r="B17" s="2"/>
      <c r="C17" s="167"/>
      <c r="D17" s="167"/>
      <c r="E17" s="169">
        <v>25</v>
      </c>
      <c r="F17" s="72">
        <v>6.98</v>
      </c>
      <c r="G17" s="72">
        <v>8.95</v>
      </c>
      <c r="H17" s="73">
        <v>7.96</v>
      </c>
      <c r="J17" s="57"/>
      <c r="K17" s="57"/>
      <c r="L17" s="22"/>
      <c r="M17" s="22"/>
      <c r="N17" s="22"/>
      <c r="O17" s="22"/>
    </row>
    <row r="18" spans="1:15" ht="12.75" customHeight="1">
      <c r="A18" s="13"/>
      <c r="B18" s="15"/>
      <c r="C18" s="14"/>
      <c r="D18" s="14"/>
      <c r="E18" s="169">
        <v>30</v>
      </c>
      <c r="F18" s="72">
        <v>6.98</v>
      </c>
      <c r="G18" s="72">
        <v>8.91</v>
      </c>
      <c r="H18" s="73">
        <v>7.94</v>
      </c>
      <c r="J18" s="57"/>
      <c r="K18" s="57"/>
      <c r="L18" s="22"/>
      <c r="M18" s="22"/>
      <c r="N18" s="22"/>
      <c r="O18" s="22"/>
    </row>
    <row r="19" spans="1:14" ht="12.75" customHeight="1">
      <c r="A19" s="13"/>
      <c r="B19" s="15"/>
      <c r="C19" s="14"/>
      <c r="D19" s="14"/>
      <c r="E19" s="169">
        <v>35</v>
      </c>
      <c r="F19" s="72">
        <v>6.96</v>
      </c>
      <c r="G19" s="72">
        <v>8.88</v>
      </c>
      <c r="H19" s="73">
        <v>7.92</v>
      </c>
      <c r="J19" s="44"/>
      <c r="K19" s="44"/>
      <c r="L19" s="22"/>
      <c r="M19" s="22"/>
      <c r="N19" s="22"/>
    </row>
    <row r="20" spans="1:14" ht="12.75" customHeight="1">
      <c r="A20" s="13"/>
      <c r="B20" s="15"/>
      <c r="C20" s="14"/>
      <c r="D20" s="14"/>
      <c r="E20" s="169">
        <v>40</v>
      </c>
      <c r="F20" s="72">
        <v>6.95</v>
      </c>
      <c r="G20" s="72">
        <v>8.85</v>
      </c>
      <c r="H20" s="73">
        <v>7.9</v>
      </c>
      <c r="J20" s="22"/>
      <c r="K20" s="22"/>
      <c r="L20" s="22"/>
      <c r="M20" s="22"/>
      <c r="N20" s="22"/>
    </row>
    <row r="21" spans="1:14" ht="12.75" customHeight="1" thickBot="1">
      <c r="A21" s="131"/>
      <c r="B21" s="132"/>
      <c r="C21" s="21"/>
      <c r="D21" s="21"/>
      <c r="E21" s="170"/>
      <c r="F21" s="105"/>
      <c r="G21" s="105"/>
      <c r="H21" s="107"/>
      <c r="J21" s="22"/>
      <c r="K21" s="22"/>
      <c r="L21" s="22"/>
      <c r="M21" s="22"/>
      <c r="N21" s="22"/>
    </row>
    <row r="22" spans="1:14" ht="12.75" customHeight="1">
      <c r="A22" s="268" t="s">
        <v>12</v>
      </c>
      <c r="B22" s="173" t="s">
        <v>6</v>
      </c>
      <c r="C22" s="173" t="s">
        <v>0</v>
      </c>
      <c r="D22" s="173" t="s">
        <v>31</v>
      </c>
      <c r="E22" s="217" t="s">
        <v>1</v>
      </c>
      <c r="F22" s="173" t="s">
        <v>21</v>
      </c>
      <c r="G22" s="173" t="s">
        <v>22</v>
      </c>
      <c r="H22" s="174" t="s">
        <v>2</v>
      </c>
      <c r="J22" s="22"/>
      <c r="K22" s="22"/>
      <c r="L22" s="22"/>
      <c r="M22" s="22"/>
      <c r="N22" s="22"/>
    </row>
    <row r="23" spans="1:8" ht="12.75" customHeight="1" thickBot="1">
      <c r="A23" s="159"/>
      <c r="B23" s="158"/>
      <c r="C23" s="158"/>
      <c r="D23" s="158"/>
      <c r="E23" s="158" t="str">
        <f>Randvoorwaarden_Specificaties!C10</f>
        <v>°C</v>
      </c>
      <c r="F23" s="158"/>
      <c r="G23" s="158"/>
      <c r="H23" s="196"/>
    </row>
    <row r="24" spans="1:11" ht="12.75" customHeight="1" hidden="1">
      <c r="A24" s="59">
        <f>$H$11</f>
        <v>8</v>
      </c>
      <c r="B24" s="215" t="s">
        <v>3</v>
      </c>
      <c r="C24" s="5"/>
      <c r="D24" s="218"/>
      <c r="E24" s="7"/>
      <c r="F24" s="60">
        <f>ROUND(((VLOOKUP(($E24+5),$E$12:$H$20,4,TRUE))-(VLOOKUP($E24,$E$12:$H$20,4,TRUE)))/((VLOOKUP(($E24+5),$E$12:$H$20,1,TRUE))-(VLOOKUP($E24,$E$12:$H$20,1,TRUE)))*(E24-(VLOOKUP($E24,$E$12:$H$20,1,TRUE)))+(VLOOKUP($E24,$E$12:$H$20,4,TRUE)),2)</f>
        <v>8.15</v>
      </c>
      <c r="G24" s="51"/>
      <c r="H24" s="216">
        <f>ROUND(ABS(F24-G24),2)</f>
        <v>8.15</v>
      </c>
      <c r="J24" s="214"/>
      <c r="K24" s="214"/>
    </row>
    <row r="25" spans="1:11" ht="12.75" customHeight="1" hidden="1">
      <c r="A25" s="61">
        <f>$H$11</f>
        <v>8</v>
      </c>
      <c r="B25" s="45" t="s">
        <v>4</v>
      </c>
      <c r="C25" s="81"/>
      <c r="D25" s="219"/>
      <c r="E25" s="171"/>
      <c r="F25" s="62">
        <f>ROUND(((VLOOKUP(($E25+5),$E$12:$H$20,4,TRUE))-(VLOOKUP($E25,$E$12:$H$20,4,TRUE)))/((VLOOKUP(($E25+5),$E$12:$H$20,1,TRUE))-(VLOOKUP($E25,$E$12:$H$20,1,TRUE)))*(E25-(VLOOKUP($E25,$E$12:$H$20,1,TRUE)))+(VLOOKUP($E25,$E$12:$H$20,4,TRUE)),2)</f>
        <v>8.15</v>
      </c>
      <c r="G25" s="50"/>
      <c r="H25" s="63">
        <f>ROUND(ABS(F25-G25),2)</f>
        <v>8.15</v>
      </c>
      <c r="J25" s="214"/>
      <c r="K25" s="214"/>
    </row>
    <row r="26" spans="1:8" ht="12.75" customHeight="1" hidden="1">
      <c r="A26" s="61">
        <f>$F$11</f>
        <v>7</v>
      </c>
      <c r="B26" s="45" t="s">
        <v>3</v>
      </c>
      <c r="C26" s="81"/>
      <c r="D26" s="219"/>
      <c r="E26" s="171"/>
      <c r="F26" s="62">
        <f>ROUND(((VLOOKUP(($E26+5),$E$12:$H$20,2,TRUE))-(VLOOKUP($E26,$E$12:$H$20,2,TRUE)))/((VLOOKUP(($E26+5),$E$12:$H$20,1,TRUE))-(VLOOKUP($E26,$E$12:$H$20,1,TRUE)))*(E26-(VLOOKUP($E26,$E$12:$H$20,1,TRUE)))+(VLOOKUP($E26,$E$12:$H$20,2,TRUE)),2)</f>
        <v>7.13</v>
      </c>
      <c r="G26" s="50"/>
      <c r="H26" s="63">
        <f>ROUND(ABS(F26-G26),2)</f>
        <v>7.13</v>
      </c>
    </row>
    <row r="27" spans="1:11" ht="12.75" customHeight="1" hidden="1" thickBot="1">
      <c r="A27" s="64">
        <f>$G$11</f>
        <v>9</v>
      </c>
      <c r="B27" s="65" t="s">
        <v>3</v>
      </c>
      <c r="C27" s="82"/>
      <c r="D27" s="220"/>
      <c r="E27" s="9"/>
      <c r="F27" s="66">
        <f>ROUND(((VLOOKUP(($E27+5),$E$12:$H$20,3,TRUE))-(VLOOKUP($E27,$E$12:$H$20,3,TRUE)))/((VLOOKUP(($E27+5),$E$12:$H$20,1,TRUE))-(VLOOKUP($E27,$E$12:$H$20,1,TRUE)))*(E27-(VLOOKUP($E27,$E$12:$H$20,1,TRUE)))+(VLOOKUP($E27,$E$12:$H$20,3,TRUE)),2)</f>
        <v>9.24</v>
      </c>
      <c r="G27" s="74"/>
      <c r="H27" s="67">
        <f>ROUND(ABS(F27-G27),2)</f>
        <v>9.24</v>
      </c>
      <c r="K27" s="214"/>
    </row>
    <row r="28" spans="1:8" ht="12.75">
      <c r="A28" s="59">
        <f>$H$11</f>
        <v>8</v>
      </c>
      <c r="B28" s="215" t="s">
        <v>3</v>
      </c>
      <c r="C28" s="5">
        <v>44203</v>
      </c>
      <c r="D28" s="218"/>
      <c r="E28" s="7">
        <v>7.34</v>
      </c>
      <c r="F28" s="60">
        <f>ROUND(((VLOOKUP(($E28+5),$E$12:$H$20,4,TRUE))-(VLOOKUP($E28,$E$12:$H$20,4,TRUE)))/((VLOOKUP(($E28+5),$E$12:$H$20,1,TRUE))-(VLOOKUP($E28,$E$12:$H$20,1,TRUE)))*(E28-(VLOOKUP($E28,$E$12:$H$20,1,TRUE)))+(VLOOKUP($E28,$E$12:$H$20,4,TRUE)),2)</f>
        <v>8.09</v>
      </c>
      <c r="G28" s="51">
        <v>8.02</v>
      </c>
      <c r="H28" s="216">
        <f aca="true" t="shared" si="0" ref="H28:H33">ROUND(ABS(F28-G28),2)</f>
        <v>0.07</v>
      </c>
    </row>
    <row r="29" spans="1:8" ht="13.5" thickBot="1">
      <c r="A29" s="61">
        <f>$H$11</f>
        <v>8</v>
      </c>
      <c r="B29" s="45" t="s">
        <v>4</v>
      </c>
      <c r="C29" s="81"/>
      <c r="D29" s="219"/>
      <c r="E29" s="171">
        <v>7.45</v>
      </c>
      <c r="F29" s="62">
        <f>ROUND(((VLOOKUP(($E29+5),$E$12:$H$20,4,TRUE))-(VLOOKUP($E29,$E$12:$H$20,4,TRUE)))/((VLOOKUP(($E29+5),$E$12:$H$20,1,TRUE))-(VLOOKUP($E29,$E$12:$H$20,1,TRUE)))*(E29-(VLOOKUP($E29,$E$12:$H$20,1,TRUE)))+(VLOOKUP($E29,$E$12:$H$20,4,TRUE)),2)</f>
        <v>8.09</v>
      </c>
      <c r="G29" s="50">
        <v>8.07</v>
      </c>
      <c r="H29" s="63">
        <f t="shared" si="0"/>
        <v>0.02</v>
      </c>
    </row>
    <row r="30" spans="1:8" ht="12.75">
      <c r="A30" s="59">
        <f>$H$11</f>
        <v>8</v>
      </c>
      <c r="B30" s="215" t="s">
        <v>3</v>
      </c>
      <c r="C30" s="5">
        <v>44204</v>
      </c>
      <c r="D30" s="218"/>
      <c r="E30" s="7">
        <v>8.2</v>
      </c>
      <c r="F30" s="60">
        <f>ROUND(((VLOOKUP(($E30+5),$E$12:$H$20,4,TRUE))-(VLOOKUP($E30,$E$12:$H$20,4,TRUE)))/((VLOOKUP(($E30+5),$E$12:$H$20,1,TRUE))-(VLOOKUP($E30,$E$12:$H$20,1,TRUE)))*(E30-(VLOOKUP($E30,$E$12:$H$20,1,TRUE)))+(VLOOKUP($E30,$E$12:$H$20,4,TRUE)),2)</f>
        <v>8.08</v>
      </c>
      <c r="G30" s="51">
        <v>8.06</v>
      </c>
      <c r="H30" s="216">
        <f t="shared" si="0"/>
        <v>0.02</v>
      </c>
    </row>
    <row r="31" spans="1:8" ht="12.75">
      <c r="A31" s="61">
        <f>$H$11</f>
        <v>8</v>
      </c>
      <c r="B31" s="45" t="s">
        <v>4</v>
      </c>
      <c r="C31" s="81"/>
      <c r="D31" s="219"/>
      <c r="E31" s="171">
        <v>8.43</v>
      </c>
      <c r="F31" s="62">
        <f>ROUND(((VLOOKUP(($E31+5),$E$12:$H$20,4,TRUE))-(VLOOKUP($E31,$E$12:$H$20,4,TRUE)))/((VLOOKUP(($E31+5),$E$12:$H$20,1,TRUE))-(VLOOKUP($E31,$E$12:$H$20,1,TRUE)))*(E31-(VLOOKUP($E31,$E$12:$H$20,1,TRUE)))+(VLOOKUP($E31,$E$12:$H$20,4,TRUE)),2)</f>
        <v>8.08</v>
      </c>
      <c r="G31" s="50">
        <v>8.04</v>
      </c>
      <c r="H31" s="63">
        <f t="shared" si="0"/>
        <v>0.04</v>
      </c>
    </row>
    <row r="32" spans="1:8" ht="12.75">
      <c r="A32" s="61">
        <f>$F$11</f>
        <v>7</v>
      </c>
      <c r="B32" s="45" t="s">
        <v>3</v>
      </c>
      <c r="C32" s="81"/>
      <c r="D32" s="219"/>
      <c r="E32" s="171">
        <v>8.2</v>
      </c>
      <c r="F32" s="62">
        <f>ROUND(((VLOOKUP(($E32+5),$E$12:$H$20,2,TRUE))-(VLOOKUP($E32,$E$12:$H$20,2,TRUE)))/((VLOOKUP(($E32+5),$E$12:$H$20,1,TRUE))-(VLOOKUP($E32,$E$12:$H$20,1,TRUE)))*(E32-(VLOOKUP($E32,$E$12:$H$20,1,TRUE)))+(VLOOKUP($E32,$E$12:$H$20,2,TRUE)),2)</f>
        <v>7.06</v>
      </c>
      <c r="G32" s="50">
        <v>7</v>
      </c>
      <c r="H32" s="63">
        <f t="shared" si="0"/>
        <v>0.06</v>
      </c>
    </row>
    <row r="33" spans="1:8" ht="13.5" thickBot="1">
      <c r="A33" s="64">
        <f>$G$11</f>
        <v>9</v>
      </c>
      <c r="B33" s="65" t="s">
        <v>3</v>
      </c>
      <c r="C33" s="82"/>
      <c r="D33" s="220"/>
      <c r="E33" s="9">
        <v>8.2</v>
      </c>
      <c r="F33" s="66">
        <f>ROUND(((VLOOKUP(($E33+5),$E$12:$H$20,3,TRUE))-(VLOOKUP($E33,$E$12:$H$20,3,TRUE)))/((VLOOKUP(($E33+5),$E$12:$H$20,1,TRUE))-(VLOOKUP($E33,$E$12:$H$20,1,TRUE)))*(E33-(VLOOKUP($E33,$E$12:$H$20,1,TRUE)))+(VLOOKUP($E33,$E$12:$H$20,3,TRUE)),2)</f>
        <v>9.13</v>
      </c>
      <c r="G33" s="74">
        <v>9.11</v>
      </c>
      <c r="H33" s="67">
        <f t="shared" si="0"/>
        <v>0.02</v>
      </c>
    </row>
  </sheetData>
  <sheetProtection sheet="1" objects="1" scenarios="1"/>
  <conditionalFormatting sqref="D24">
    <cfRule type="expression" priority="25" dxfId="14" stopIfTrue="1">
      <formula>ISBLANK($D24)</formula>
    </cfRule>
    <cfRule type="cellIs" priority="26" dxfId="1" operator="between" stopIfTrue="1">
      <formula>$B$6</formula>
      <formula>$B$7</formula>
    </cfRule>
    <cfRule type="cellIs" priority="27" dxfId="0" operator="notBetween" stopIfTrue="1">
      <formula>$B$6</formula>
      <formula>$B$7</formula>
    </cfRule>
  </conditionalFormatting>
  <conditionalFormatting sqref="H24:H27">
    <cfRule type="expression" priority="28" dxfId="10" stopIfTrue="1">
      <formula>ISBLANK($G24)</formula>
    </cfRule>
  </conditionalFormatting>
  <conditionalFormatting sqref="G8">
    <cfRule type="expression" priority="31" dxfId="14" stopIfTrue="1">
      <formula>ISBLANK($G$8)</formula>
    </cfRule>
  </conditionalFormatting>
  <conditionalFormatting sqref="B5:B7">
    <cfRule type="expression" priority="46" dxfId="14" stopIfTrue="1">
      <formula>$B$4="ja"</formula>
    </cfRule>
    <cfRule type="expression" priority="47" dxfId="10" stopIfTrue="1">
      <formula>$B$4="nee"</formula>
    </cfRule>
  </conditionalFormatting>
  <conditionalFormatting sqref="D28">
    <cfRule type="expression" priority="10" dxfId="14" stopIfTrue="1">
      <formula>ISBLANK($D28)</formula>
    </cfRule>
    <cfRule type="cellIs" priority="11" dxfId="1" operator="between" stopIfTrue="1">
      <formula>$B$6</formula>
      <formula>$B$7</formula>
    </cfRule>
    <cfRule type="cellIs" priority="12" dxfId="0" operator="notBetween" stopIfTrue="1">
      <formula>$B$6</formula>
      <formula>$B$7</formula>
    </cfRule>
  </conditionalFormatting>
  <conditionalFormatting sqref="H28:H29">
    <cfRule type="expression" priority="13" dxfId="10" stopIfTrue="1">
      <formula>ISBLANK($G28)</formula>
    </cfRule>
  </conditionalFormatting>
  <conditionalFormatting sqref="D30">
    <cfRule type="expression" priority="4" dxfId="14" stopIfTrue="1">
      <formula>ISBLANK($D30)</formula>
    </cfRule>
    <cfRule type="cellIs" priority="5" dxfId="1" operator="between" stopIfTrue="1">
      <formula>$B$6</formula>
      <formula>$B$7</formula>
    </cfRule>
    <cfRule type="cellIs" priority="6" dxfId="0" operator="notBetween" stopIfTrue="1">
      <formula>$B$6</formula>
      <formula>$B$7</formula>
    </cfRule>
  </conditionalFormatting>
  <conditionalFormatting sqref="H30:H31">
    <cfRule type="expression" priority="7" dxfId="10" stopIfTrue="1">
      <formula>ISBLANK($G30)</formula>
    </cfRule>
  </conditionalFormatting>
  <conditionalFormatting sqref="H32:H33">
    <cfRule type="expression" priority="1" dxfId="10" stopIfTrue="1">
      <formula>ISBLANK($G32)</formula>
    </cfRule>
  </conditionalFormatting>
  <dataValidations count="4">
    <dataValidation type="list" allowBlank="1" showInputMessage="1" showErrorMessage="1" promptTitle="Buffer bovengrens" prompt="Keuzemenu" sqref="G11">
      <formula1>$I$11:$I$12</formula1>
    </dataValidation>
    <dataValidation allowBlank="1" showInputMessage="1" showErrorMessage="1" promptTitle="Eenheid" prompt="Eenheid steilheid aangeven indien bekend" sqref="B5"/>
    <dataValidation type="list" allowBlank="1" showInputMessage="1" showErrorMessage="1" promptTitle="Steilheid registratie" prompt="Keuzemenu" sqref="B4">
      <formula1>$I$1:$I$2</formula1>
    </dataValidation>
    <dataValidation type="list" showInputMessage="1" showErrorMessage="1" promptTitle="Toetsingsfrequentie" prompt="Keuzemenu&#10;" sqref="B3">
      <formula1>$I$4:$I$8</formula1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Rijkswaterstaat, Directie IJsselmeergebied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brongersi</dc:creator>
  <cp:keywords/>
  <dc:description/>
  <cp:lastModifiedBy>Matulessy, Els (CD)</cp:lastModifiedBy>
  <cp:lastPrinted>2011-08-08T11:42:52Z</cp:lastPrinted>
  <dcterms:created xsi:type="dcterms:W3CDTF">2009-10-20T14:21:50Z</dcterms:created>
  <dcterms:modified xsi:type="dcterms:W3CDTF">2022-04-13T10:36:29Z</dcterms:modified>
  <cp:category/>
  <cp:version/>
  <cp:contentType/>
  <cp:contentStatus/>
</cp:coreProperties>
</file>