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225" windowWidth="18195" windowHeight="11280"/>
  </bookViews>
  <sheets>
    <sheet name="Rekensheet" sheetId="1" r:id="rId1"/>
    <sheet name="achtergrondinformatie" sheetId="2" r:id="rId2"/>
    <sheet name="Bijlage B" sheetId="3" r:id="rId3"/>
    <sheet name="Fileduur" sheetId="4" r:id="rId4"/>
  </sheets>
  <definedNames>
    <definedName name="_xlnm.Print_Area" localSheetId="0">Rekensheet!$A$1:$G$49</definedName>
    <definedName name="lengte">achtergrondinformatie!#REF!</definedName>
    <definedName name="Type_tunnel">achtergrondinformatie!$B$8:$B$9</definedName>
  </definedNames>
  <calcPr calcId="145621"/>
</workbook>
</file>

<file path=xl/calcChain.xml><?xml version="1.0" encoding="utf-8"?>
<calcChain xmlns="http://schemas.openxmlformats.org/spreadsheetml/2006/main">
  <c r="D20" i="1" l="1"/>
  <c r="B5" i="4" l="1"/>
  <c r="B7" i="4" s="1"/>
  <c r="B9" i="4" s="1"/>
  <c r="B13" i="1" s="1"/>
  <c r="D19" i="1" l="1"/>
  <c r="D28" i="1"/>
  <c r="D26" i="1"/>
  <c r="D14" i="1" l="1"/>
  <c r="D24" i="1" s="1"/>
  <c r="A22" i="1" l="1"/>
  <c r="A23" i="1"/>
  <c r="D21" i="1"/>
  <c r="D9" i="1" l="1"/>
  <c r="D22" i="1" s="1"/>
  <c r="D10" i="1"/>
  <c r="D23" i="1" s="1"/>
  <c r="D18" i="1" l="1"/>
  <c r="D17" i="1"/>
  <c r="D31" i="1" l="1"/>
  <c r="D29" i="1"/>
  <c r="F50" i="2"/>
  <c r="F49" i="2"/>
  <c r="F48" i="2"/>
  <c r="F47" i="2"/>
  <c r="F46" i="2"/>
  <c r="F45" i="2"/>
  <c r="D27" i="1"/>
  <c r="D25" i="1"/>
  <c r="D30" i="1" l="1"/>
  <c r="B33" i="1" s="1"/>
  <c r="B38" i="1" l="1"/>
</calcChain>
</file>

<file path=xl/sharedStrings.xml><?xml version="1.0" encoding="utf-8"?>
<sst xmlns="http://schemas.openxmlformats.org/spreadsheetml/2006/main" count="291" uniqueCount="109">
  <si>
    <t>Maximumsnelheid</t>
  </si>
  <si>
    <t>I/C verhouding</t>
  </si>
  <si>
    <t>m</t>
  </si>
  <si>
    <t>Lengte (gesloten deel)</t>
  </si>
  <si>
    <t xml:space="preserve">Rijstrookbreedte (binnenzijde. Kantstreep tot hart deelstreep)  </t>
  </si>
  <si>
    <t>Aanwezigheid  vluchtstrook</t>
  </si>
  <si>
    <t>% vrachtverkeer</t>
  </si>
  <si>
    <t>Ja</t>
  </si>
  <si>
    <t>%</t>
  </si>
  <si>
    <t>Capaciteit rijstrook</t>
  </si>
  <si>
    <t>Rijstroken</t>
  </si>
  <si>
    <t>Elementen</t>
  </si>
  <si>
    <t>waarderingsfactor</t>
  </si>
  <si>
    <t>-</t>
  </si>
  <si>
    <t>categorien</t>
  </si>
  <si>
    <r>
      <t xml:space="preserve">Intensiteit </t>
    </r>
    <r>
      <rPr>
        <sz val="11"/>
        <color theme="3"/>
        <rFont val="Verdana"/>
        <family val="2"/>
      </rPr>
      <t>(per maatgevend uur)</t>
    </r>
  </si>
  <si>
    <t>km/u</t>
  </si>
  <si>
    <t>[Tunnel]</t>
  </si>
  <si>
    <t>Nee</t>
  </si>
  <si>
    <t>Rekensheet ongevalskansen in tunnels autosnelwegen</t>
  </si>
  <si>
    <t>[Wegvak] [van hm] [tot hm]</t>
  </si>
  <si>
    <t>Toelichting</t>
  </si>
  <si>
    <t>&lt;1000</t>
  </si>
  <si>
    <t>&gt; 5500</t>
  </si>
  <si>
    <t>mvt/etm</t>
  </si>
  <si>
    <t>1000 - 1500</t>
  </si>
  <si>
    <t>2000 - 2500</t>
  </si>
  <si>
    <t>1500 - 2000</t>
  </si>
  <si>
    <t>2500 - 3500</t>
  </si>
  <si>
    <t>3500 - 4500</t>
  </si>
  <si>
    <t>4500 - 5500</t>
  </si>
  <si>
    <t>Tunnellengte (zinktunnels)</t>
  </si>
  <si>
    <t>Rijstrookbreedte, smalste rijstrook</t>
  </si>
  <si>
    <t>opgaande helling (snelheidsverval)</t>
  </si>
  <si>
    <t>redresseerstrook</t>
  </si>
  <si>
    <t>Type tunnel</t>
  </si>
  <si>
    <t>Landtunnel</t>
  </si>
  <si>
    <t>Zinktunnel</t>
  </si>
  <si>
    <t>tot</t>
  </si>
  <si>
    <t>=</t>
  </si>
  <si>
    <t>Breedte redresseerstrook</t>
  </si>
  <si>
    <t>neergaande helling (gemiddeld hellingspercentage)</t>
  </si>
  <si>
    <t>&lt;dv&lt;=</t>
  </si>
  <si>
    <t>&lt;</t>
  </si>
  <si>
    <t>&lt;=L&lt;=</t>
  </si>
  <si>
    <t>&gt;</t>
  </si>
  <si>
    <t>&lt;b&lt;=</t>
  </si>
  <si>
    <t>Horizontale boog</t>
  </si>
  <si>
    <t>rechtstand</t>
  </si>
  <si>
    <t>Rh</t>
  </si>
  <si>
    <t>&gt;=</t>
  </si>
  <si>
    <t>&lt;=Rh&lt;</t>
  </si>
  <si>
    <t>Horizontale boog (rechtstand=0)</t>
  </si>
  <si>
    <t>Verticale boog</t>
  </si>
  <si>
    <t>ontwerpsnelheid</t>
  </si>
  <si>
    <t>100 km/u</t>
  </si>
  <si>
    <t>120 km/u</t>
  </si>
  <si>
    <t>Rv</t>
  </si>
  <si>
    <t>verticale boog (vo=100 km/u)</t>
  </si>
  <si>
    <t>verticale boog (vo=120 km/u)</t>
  </si>
  <si>
    <t>i/c</t>
  </si>
  <si>
    <t>&lt;=i/c&lt;</t>
  </si>
  <si>
    <t>&lt;=vracht&lt;=</t>
  </si>
  <si>
    <t>&lt;vracht&lt;=</t>
  </si>
  <si>
    <t>Uitvoeger</t>
  </si>
  <si>
    <t>Splitsing</t>
  </si>
  <si>
    <t>Invoeger</t>
  </si>
  <si>
    <t>Samenvoeger</t>
  </si>
  <si>
    <t>Afstreping</t>
  </si>
  <si>
    <t>Weefvak</t>
  </si>
  <si>
    <t>Extra rijstrook</t>
  </si>
  <si>
    <t>voor de tunnel</t>
  </si>
  <si>
    <t>in de tunnel tov tunnelingang</t>
  </si>
  <si>
    <t>in de tunnel tov tunneluitgang</t>
  </si>
  <si>
    <t>na de tunnel</t>
  </si>
  <si>
    <t>80 km/u</t>
  </si>
  <si>
    <t>Type convergentie- of divergentiepunt voor de tunnel</t>
  </si>
  <si>
    <t>Type convergentie- of divergentiepunt na de tunnel</t>
  </si>
  <si>
    <t>Ontwerpsnelheid (km/u)</t>
  </si>
  <si>
    <t>Opgaande helling (snelheidsverval vrachtverkeer)</t>
  </si>
  <si>
    <t>Neergaande helling (gemiddeld hellingspercentage)</t>
  </si>
  <si>
    <t>Waarde</t>
  </si>
  <si>
    <t>Ongevalsfactor</t>
  </si>
  <si>
    <t>Ongevalsfactor tunnel</t>
  </si>
  <si>
    <t>Basis slachtofferongevalsfrequentie</t>
  </si>
  <si>
    <t>Slachtofferongevalsfrequentie tunnel</t>
  </si>
  <si>
    <r>
      <t>* 10</t>
    </r>
    <r>
      <rPr>
        <b/>
        <vertAlign val="superscript"/>
        <sz val="11"/>
        <color theme="0"/>
        <rFont val="Verdana"/>
        <family val="2"/>
      </rPr>
      <t>-7</t>
    </r>
  </si>
  <si>
    <t>Tfilemax</t>
  </si>
  <si>
    <t>min</t>
  </si>
  <si>
    <t>vtg/uur</t>
  </si>
  <si>
    <t>Fileterugslag (Ibuis)</t>
  </si>
  <si>
    <t>vtg/jaar</t>
  </si>
  <si>
    <t>slachtofferongevallen per</t>
  </si>
  <si>
    <t>voertuigkilometer</t>
  </si>
  <si>
    <t>per periode per etmaal</t>
  </si>
  <si>
    <t>Tfileduur</t>
  </si>
  <si>
    <t>snelheid  ingrijpen operator, invoer QRA-tunnels)</t>
  </si>
  <si>
    <t>I_periode</t>
  </si>
  <si>
    <t>Nperiode</t>
  </si>
  <si>
    <t>% vrachtverkeer (en bussen)</t>
  </si>
  <si>
    <t>Ruimtebeslag personenauto in file</t>
  </si>
  <si>
    <t>Ruimtebeslag vrachtwagen en bus in file</t>
  </si>
  <si>
    <t>Gemiddelde ruimebeslag voertuig in file</t>
  </si>
  <si>
    <t>defaultwaarde QRA-tunnels</t>
  </si>
  <si>
    <t>Aangroei file lengte per min (m) (per rijstrook)</t>
  </si>
  <si>
    <t>Tunnel vol na .. Min</t>
  </si>
  <si>
    <t>miuten</t>
  </si>
  <si>
    <t>(invoer ≥ 3000)</t>
  </si>
  <si>
    <t>Nterugslag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</si>
</sst>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70" formatCode="0.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color theme="3"/>
      <name val="Verdana"/>
      <family val="2"/>
    </font>
    <font>
      <sz val="10"/>
      <color theme="1"/>
      <name val="Verdana"/>
      <family val="2"/>
    </font>
    <font>
      <sz val="10"/>
      <color theme="1" tint="0.49998474074526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sz val="11"/>
      <color theme="0" tint="-0.34998626667073579"/>
      <name val="Verdana"/>
      <family val="2"/>
    </font>
    <font>
      <sz val="11"/>
      <color rgb="FFFF0000"/>
      <name val="Verdana"/>
      <family val="2"/>
    </font>
    <font>
      <sz val="11"/>
      <color theme="0" tint="-0.249977111117893"/>
      <name val="Verdana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Verdana"/>
      <family val="2"/>
    </font>
    <font>
      <sz val="11"/>
      <color theme="1" tint="0.499984740745262"/>
      <name val="Verdana"/>
      <family val="2"/>
    </font>
    <font>
      <b/>
      <vertAlign val="superscript"/>
      <sz val="11"/>
      <color theme="0"/>
      <name val="Verdana"/>
      <family val="2"/>
    </font>
    <font>
      <sz val="11"/>
      <color theme="0" tint="-0.14999847407452621"/>
      <name val="Verdana"/>
      <family val="2"/>
    </font>
    <font>
      <sz val="11"/>
      <color theme="0" tint="-0.499984740745262"/>
      <name val="Verdana"/>
      <family val="2"/>
    </font>
    <font>
      <sz val="9"/>
      <name val="Verdana"/>
      <family val="2"/>
    </font>
    <font>
      <sz val="10"/>
      <color theme="0" tint="-0.49998474074526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E99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4"/>
      </left>
      <right style="medium">
        <color theme="0"/>
      </right>
      <top/>
      <bottom/>
      <diagonal/>
    </border>
    <border>
      <left style="thin">
        <color theme="4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thin">
        <color indexed="64"/>
      </right>
      <top/>
      <bottom style="thin">
        <color theme="3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rgb="FFFBD326"/>
      </left>
      <right style="medium">
        <color theme="0"/>
      </right>
      <top style="thin">
        <color rgb="FFFBD326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4" borderId="13" xfId="0" applyFont="1" applyFill="1" applyBorder="1"/>
    <xf numFmtId="0" fontId="10" fillId="4" borderId="27" xfId="0" applyFont="1" applyFill="1" applyBorder="1" applyAlignment="1"/>
    <xf numFmtId="0" fontId="10" fillId="4" borderId="28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" fontId="11" fillId="0" borderId="29" xfId="0" applyNumberFormat="1" applyFont="1" applyFill="1" applyBorder="1" applyAlignment="1">
      <alignment horizontal="center"/>
    </xf>
    <xf numFmtId="0" fontId="3" fillId="0" borderId="20" xfId="0" quotePrefix="1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/>
    <xf numFmtId="0" fontId="3" fillId="0" borderId="14" xfId="0" applyFont="1" applyBorder="1"/>
    <xf numFmtId="0" fontId="3" fillId="0" borderId="16" xfId="0" applyFont="1" applyBorder="1"/>
    <xf numFmtId="0" fontId="13" fillId="0" borderId="0" xfId="0" applyFont="1" applyAlignment="1">
      <alignment horizontal="left"/>
    </xf>
    <xf numFmtId="0" fontId="3" fillId="0" borderId="18" xfId="0" applyFont="1" applyBorder="1"/>
    <xf numFmtId="0" fontId="1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3" borderId="12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5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164" fontId="5" fillId="0" borderId="0" xfId="0" applyNumberFormat="1" applyFont="1"/>
    <xf numFmtId="165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1" xfId="0" applyFont="1" applyBorder="1"/>
    <xf numFmtId="0" fontId="3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" fillId="0" borderId="22" xfId="0" applyFont="1" applyBorder="1"/>
    <xf numFmtId="0" fontId="3" fillId="0" borderId="34" xfId="0" applyFont="1" applyBorder="1" applyAlignment="1">
      <alignment vertical="center"/>
    </xf>
    <xf numFmtId="0" fontId="12" fillId="0" borderId="23" xfId="0" applyFont="1" applyBorder="1" applyAlignment="1">
      <alignment horizontal="center"/>
    </xf>
    <xf numFmtId="0" fontId="10" fillId="4" borderId="35" xfId="0" applyFont="1" applyFill="1" applyBorder="1" applyAlignment="1"/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16" fontId="3" fillId="0" borderId="36" xfId="0" quotePrefix="1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16" fontId="3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" fontId="3" fillId="0" borderId="0" xfId="0" quotePrefix="1" applyNumberFormat="1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26" xfId="0" quotePrefix="1" applyNumberFormat="1" applyFont="1" applyFill="1" applyBorder="1" applyAlignment="1">
      <alignment horizontal="right"/>
    </xf>
    <xf numFmtId="0" fontId="3" fillId="0" borderId="36" xfId="0" quotePrefix="1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right"/>
    </xf>
    <xf numFmtId="0" fontId="3" fillId="0" borderId="20" xfId="0" quotePrefix="1" applyNumberFormat="1" applyFont="1" applyFill="1" applyBorder="1" applyAlignment="1">
      <alignment horizontal="right"/>
    </xf>
    <xf numFmtId="0" fontId="3" fillId="0" borderId="31" xfId="0" applyFont="1" applyBorder="1" applyAlignment="1">
      <alignment vertical="center"/>
    </xf>
    <xf numFmtId="0" fontId="3" fillId="0" borderId="31" xfId="0" quotePrefix="1" applyNumberFormat="1" applyFont="1" applyFill="1" applyBorder="1" applyAlignment="1">
      <alignment horizontal="right"/>
    </xf>
    <xf numFmtId="0" fontId="3" fillId="0" borderId="38" xfId="0" quotePrefix="1" applyFont="1" applyFill="1" applyBorder="1" applyAlignment="1">
      <alignment horizontal="right"/>
    </xf>
    <xf numFmtId="0" fontId="3" fillId="0" borderId="38" xfId="0" quotePrefix="1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22" xfId="0" quotePrefix="1" applyFont="1" applyFill="1" applyBorder="1" applyAlignment="1">
      <alignment horizontal="right"/>
    </xf>
    <xf numFmtId="0" fontId="3" fillId="0" borderId="39" xfId="0" quotePrefix="1" applyFont="1" applyFill="1" applyBorder="1" applyAlignment="1">
      <alignment horizontal="right"/>
    </xf>
    <xf numFmtId="0" fontId="3" fillId="0" borderId="39" xfId="0" quotePrefix="1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1" fillId="0" borderId="3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4" fillId="0" borderId="20" xfId="0" applyFont="1" applyBorder="1"/>
    <xf numFmtId="0" fontId="12" fillId="0" borderId="21" xfId="0" applyFont="1" applyBorder="1" applyAlignment="1">
      <alignment horizontal="center"/>
    </xf>
    <xf numFmtId="0" fontId="14" fillId="0" borderId="31" xfId="0" applyFont="1" applyBorder="1"/>
    <xf numFmtId="0" fontId="3" fillId="0" borderId="20" xfId="0" applyNumberFormat="1" applyFont="1" applyBorder="1" applyAlignment="1">
      <alignment horizontal="right"/>
    </xf>
    <xf numFmtId="0" fontId="3" fillId="0" borderId="20" xfId="0" quotePrefix="1" applyNumberFormat="1" applyFont="1" applyBorder="1" applyAlignment="1">
      <alignment horizontal="right"/>
    </xf>
    <xf numFmtId="0" fontId="3" fillId="0" borderId="0" xfId="0" quotePrefix="1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2" fontId="5" fillId="7" borderId="4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3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10" borderId="14" xfId="0" applyFont="1" applyFill="1" applyBorder="1"/>
    <xf numFmtId="0" fontId="3" fillId="10" borderId="26" xfId="0" applyFont="1" applyFill="1" applyBorder="1" applyAlignment="1">
      <alignment horizontal="right"/>
    </xf>
    <xf numFmtId="0" fontId="3" fillId="10" borderId="36" xfId="0" applyFont="1" applyFill="1" applyBorder="1" applyAlignment="1">
      <alignment horizontal="right"/>
    </xf>
    <xf numFmtId="0" fontId="11" fillId="10" borderId="29" xfId="0" applyFont="1" applyFill="1" applyBorder="1" applyAlignment="1">
      <alignment horizontal="center"/>
    </xf>
    <xf numFmtId="0" fontId="12" fillId="10" borderId="15" xfId="0" applyFont="1" applyFill="1" applyBorder="1" applyAlignment="1">
      <alignment horizontal="center"/>
    </xf>
    <xf numFmtId="0" fontId="3" fillId="10" borderId="16" xfId="0" applyFont="1" applyFill="1" applyBorder="1"/>
    <xf numFmtId="0" fontId="3" fillId="10" borderId="20" xfId="0" applyFont="1" applyFill="1" applyBorder="1" applyAlignment="1">
      <alignment horizontal="right"/>
    </xf>
    <xf numFmtId="0" fontId="3" fillId="10" borderId="0" xfId="0" applyFont="1" applyFill="1" applyBorder="1" applyAlignment="1">
      <alignment horizontal="right"/>
    </xf>
    <xf numFmtId="0" fontId="11" fillId="10" borderId="21" xfId="0" applyFont="1" applyFill="1" applyBorder="1" applyAlignment="1">
      <alignment horizontal="center"/>
    </xf>
    <xf numFmtId="0" fontId="12" fillId="10" borderId="17" xfId="0" applyFont="1" applyFill="1" applyBorder="1" applyAlignment="1">
      <alignment horizontal="center"/>
    </xf>
    <xf numFmtId="0" fontId="3" fillId="10" borderId="18" xfId="0" applyFont="1" applyFill="1" applyBorder="1"/>
    <xf numFmtId="0" fontId="3" fillId="10" borderId="24" xfId="0" applyFont="1" applyFill="1" applyBorder="1" applyAlignment="1">
      <alignment horizontal="right"/>
    </xf>
    <xf numFmtId="0" fontId="3" fillId="10" borderId="37" xfId="0" applyFont="1" applyFill="1" applyBorder="1" applyAlignment="1">
      <alignment horizontal="right"/>
    </xf>
    <xf numFmtId="0" fontId="11" fillId="10" borderId="25" xfId="0" applyFont="1" applyFill="1" applyBorder="1" applyAlignment="1">
      <alignment horizontal="center"/>
    </xf>
    <xf numFmtId="0" fontId="12" fillId="10" borderId="19" xfId="0" applyFont="1" applyFill="1" applyBorder="1" applyAlignment="1">
      <alignment horizontal="center"/>
    </xf>
    <xf numFmtId="0" fontId="4" fillId="10" borderId="18" xfId="0" applyFont="1" applyFill="1" applyBorder="1"/>
    <xf numFmtId="0" fontId="0" fillId="0" borderId="42" xfId="0" applyBorder="1"/>
    <xf numFmtId="0" fontId="15" fillId="0" borderId="42" xfId="0" applyFont="1" applyBorder="1"/>
    <xf numFmtId="0" fontId="8" fillId="0" borderId="0" xfId="0" applyFont="1" applyFill="1" applyAlignment="1">
      <alignment vertical="center"/>
    </xf>
    <xf numFmtId="0" fontId="8" fillId="0" borderId="42" xfId="0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2" fontId="5" fillId="6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7" fillId="6" borderId="5" xfId="0" applyFont="1" applyFill="1" applyBorder="1" applyAlignment="1" applyProtection="1">
      <alignment horizontal="center" vertical="center"/>
      <protection locked="0"/>
    </xf>
    <xf numFmtId="2" fontId="7" fillId="7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 applyProtection="1">
      <alignment horizontal="center"/>
      <protection locked="0"/>
    </xf>
    <xf numFmtId="0" fontId="8" fillId="9" borderId="0" xfId="0" applyFont="1" applyFill="1" applyAlignment="1" applyProtection="1">
      <alignment vertical="center"/>
      <protection locked="0"/>
    </xf>
    <xf numFmtId="2" fontId="10" fillId="8" borderId="43" xfId="0" applyNumberFormat="1" applyFont="1" applyFill="1" applyBorder="1" applyAlignment="1">
      <alignment horizontal="center" vertical="center"/>
    </xf>
    <xf numFmtId="2" fontId="10" fillId="8" borderId="3" xfId="0" applyNumberFormat="1" applyFont="1" applyFill="1" applyBorder="1" applyAlignment="1">
      <alignment horizontal="center" vertical="center"/>
    </xf>
    <xf numFmtId="2" fontId="2" fillId="2" borderId="4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2" fontId="2" fillId="8" borderId="44" xfId="0" applyNumberFormat="1" applyFont="1" applyFill="1" applyBorder="1" applyAlignment="1">
      <alignment vertical="center"/>
    </xf>
    <xf numFmtId="2" fontId="2" fillId="8" borderId="43" xfId="0" applyNumberFormat="1" applyFont="1" applyFill="1" applyBorder="1" applyAlignment="1">
      <alignment vertical="center"/>
    </xf>
    <xf numFmtId="3" fontId="5" fillId="6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2" fontId="10" fillId="8" borderId="7" xfId="0" applyNumberFormat="1" applyFont="1" applyFill="1" applyBorder="1" applyAlignment="1">
      <alignment horizontal="center" vertical="center"/>
    </xf>
    <xf numFmtId="2" fontId="10" fillId="8" borderId="8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8" borderId="8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vertical="top"/>
    </xf>
    <xf numFmtId="0" fontId="17" fillId="6" borderId="0" xfId="0" applyFont="1" applyFill="1" applyAlignment="1">
      <alignment horizontal="left" vertical="top"/>
    </xf>
    <xf numFmtId="0" fontId="17" fillId="6" borderId="0" xfId="0" applyFont="1" applyFill="1" applyAlignment="1">
      <alignment horizontal="left"/>
    </xf>
    <xf numFmtId="0" fontId="20" fillId="0" borderId="0" xfId="0" applyFont="1" applyAlignment="1">
      <alignment vertical="top"/>
    </xf>
    <xf numFmtId="0" fontId="21" fillId="0" borderId="0" xfId="1" applyFont="1"/>
    <xf numFmtId="2" fontId="21" fillId="12" borderId="0" xfId="1" applyNumberFormat="1" applyFont="1" applyFill="1" applyAlignment="1">
      <alignment vertical="top"/>
    </xf>
    <xf numFmtId="2" fontId="21" fillId="12" borderId="0" xfId="1" applyNumberFormat="1" applyFont="1" applyFill="1"/>
    <xf numFmtId="2" fontId="21" fillId="11" borderId="0" xfId="1" applyNumberFormat="1" applyFont="1" applyFill="1"/>
    <xf numFmtId="170" fontId="3" fillId="13" borderId="0" xfId="0" applyNumberFormat="1" applyFont="1" applyFill="1" applyAlignment="1" applyProtection="1">
      <alignment horizontal="center"/>
      <protection locked="0"/>
    </xf>
    <xf numFmtId="3" fontId="19" fillId="5" borderId="0" xfId="0" applyNumberFormat="1" applyFont="1" applyFill="1"/>
    <xf numFmtId="0" fontId="22" fillId="0" borderId="0" xfId="0" applyFont="1"/>
    <xf numFmtId="3" fontId="7" fillId="6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DE995"/>
      <color rgb="FFFBD3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784412</xdr:colOff>
      <xdr:row>0</xdr:row>
      <xdr:rowOff>11205</xdr:rowOff>
    </xdr:from>
    <xdr:to>
      <xdr:col>3</xdr:col>
      <xdr:colOff>1277472</xdr:colOff>
      <xdr:row>2</xdr:row>
      <xdr:rowOff>33617</xdr:rowOff>
    </xdr:to>
    <xdr:pic>
      <xdr:nvPicPr>
        <xdr:cNvPr id="4" name="Logo.1" descr="RO_Beeldmerk_Blauw"/>
        <xdr:cNvPicPr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84" t="54602" r="1091" b="20197"/>
        <a:stretch/>
      </xdr:blipFill>
      <xdr:spPr bwMode="auto">
        <a:xfrm>
          <a:off x="6701118" y="11205"/>
          <a:ext cx="493060" cy="4706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67236</xdr:colOff>
      <xdr:row>0</xdr:row>
      <xdr:rowOff>33619</xdr:rowOff>
    </xdr:from>
    <xdr:to>
      <xdr:col>0</xdr:col>
      <xdr:colOff>896471</xdr:colOff>
      <xdr:row>0</xdr:row>
      <xdr:rowOff>207310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33619"/>
          <a:ext cx="829235" cy="173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zoomScalePageLayoutView="55" workbookViewId="0">
      <selection activeCell="A24" sqref="A24"/>
    </sheetView>
  </sheetViews>
  <sheetFormatPr defaultRowHeight="14.25" x14ac:dyDescent="0.2"/>
  <cols>
    <col min="1" max="1" width="65.42578125" style="1" bestFit="1" customWidth="1"/>
    <col min="2" max="2" width="16.28515625" style="8" bestFit="1" customWidth="1"/>
    <col min="3" max="3" width="10.140625" style="7" customWidth="1"/>
    <col min="4" max="4" width="34" style="1" customWidth="1"/>
    <col min="5" max="5" width="3.42578125" style="2" bestFit="1" customWidth="1"/>
    <col min="6" max="6" width="0.85546875" style="2" customWidth="1"/>
    <col min="7" max="7" width="38.7109375" style="8" bestFit="1" customWidth="1"/>
    <col min="8" max="8" width="26" style="1" customWidth="1"/>
    <col min="9" max="16384" width="9.140625" style="1"/>
  </cols>
  <sheetData>
    <row r="1" spans="1:7" ht="20.25" customHeight="1" x14ac:dyDescent="0.2">
      <c r="A1" s="164" t="s">
        <v>19</v>
      </c>
      <c r="B1" s="164"/>
      <c r="C1" s="164"/>
      <c r="D1" s="164"/>
      <c r="E1" s="147"/>
      <c r="F1" s="147"/>
      <c r="G1" s="147"/>
    </row>
    <row r="2" spans="1:7" ht="15" x14ac:dyDescent="0.2">
      <c r="A2" s="11"/>
      <c r="B2" s="11"/>
      <c r="C2" s="11"/>
      <c r="D2" s="11"/>
      <c r="E2" s="11"/>
      <c r="F2" s="11"/>
      <c r="G2" s="11"/>
    </row>
    <row r="4" spans="1:7" ht="18.75" customHeight="1" x14ac:dyDescent="0.2">
      <c r="A4" s="151" t="s">
        <v>17</v>
      </c>
      <c r="B4" s="7"/>
    </row>
    <row r="5" spans="1:7" x14ac:dyDescent="0.2">
      <c r="A5" s="151" t="s">
        <v>20</v>
      </c>
      <c r="B5" s="7"/>
    </row>
    <row r="6" spans="1:7" ht="15" thickBot="1" x14ac:dyDescent="0.25">
      <c r="A6" s="7"/>
      <c r="B6" s="7"/>
    </row>
    <row r="7" spans="1:7" ht="15" thickBot="1" x14ac:dyDescent="0.25">
      <c r="A7" s="49" t="s">
        <v>35</v>
      </c>
      <c r="B7" s="150" t="s">
        <v>36</v>
      </c>
      <c r="C7" s="171"/>
    </row>
    <row r="8" spans="1:7" ht="15" thickBot="1" x14ac:dyDescent="0.25">
      <c r="A8" s="49" t="s">
        <v>78</v>
      </c>
      <c r="B8" s="150">
        <v>120</v>
      </c>
      <c r="C8" s="171" t="s">
        <v>16</v>
      </c>
    </row>
    <row r="9" spans="1:7" ht="15" thickBot="1" x14ac:dyDescent="0.25">
      <c r="A9" s="49" t="s">
        <v>76</v>
      </c>
      <c r="B9" s="150" t="s">
        <v>67</v>
      </c>
      <c r="C9" s="171"/>
      <c r="D9" s="142">
        <f>IF($B$8='Bijlage B'!$C$2,VLOOKUP(Rekensheet!B9,'Bijlage B'!A3:E9,3,FALSE),IF(Rekensheet!$B$8='Bijlage B'!$D$2,VLOOKUP(Rekensheet!B9,'Bijlage B'!A3:E9,4,FALSE),IF(Rekensheet!$B$8='Bijlage B'!$E$2,VLOOKUP(Rekensheet!B9,'Bijlage B'!A3:E9,5,FALSE))))</f>
        <v>375</v>
      </c>
      <c r="E9" s="143" t="s">
        <v>2</v>
      </c>
    </row>
    <row r="10" spans="1:7" ht="15" thickBot="1" x14ac:dyDescent="0.25">
      <c r="A10" s="49" t="s">
        <v>77</v>
      </c>
      <c r="B10" s="150" t="s">
        <v>68</v>
      </c>
      <c r="C10" s="171"/>
      <c r="D10" s="142">
        <f>IF($B$8='Bijlage B'!$C$11,VLOOKUP(Rekensheet!B10,'Bijlage B'!A12:E18,3,FALSE),IF(Rekensheet!$B$8='Bijlage B'!$D$11,VLOOKUP(Rekensheet!B10,'Bijlage B'!A12:E18,4,FALSE),IF(Rekensheet!$B$8='Bijlage B'!$E$11,VLOOKUP(Rekensheet!B10,'Bijlage B'!A12:E18,5,FALSE))))</f>
        <v>295</v>
      </c>
      <c r="E10" s="143" t="s">
        <v>2</v>
      </c>
    </row>
    <row r="11" spans="1:7" ht="15" thickBot="1" x14ac:dyDescent="0.25">
      <c r="A11" s="49" t="s">
        <v>98</v>
      </c>
      <c r="B11" s="150">
        <v>0.15</v>
      </c>
      <c r="C11" s="170" t="s">
        <v>94</v>
      </c>
      <c r="D11" s="169"/>
      <c r="E11" s="143"/>
    </row>
    <row r="12" spans="1:7" ht="15" thickBot="1" x14ac:dyDescent="0.25">
      <c r="A12" s="49" t="s">
        <v>87</v>
      </c>
      <c r="B12" s="150">
        <v>60</v>
      </c>
      <c r="C12" s="171" t="s">
        <v>88</v>
      </c>
      <c r="D12" s="172" t="s">
        <v>96</v>
      </c>
      <c r="E12" s="143"/>
    </row>
    <row r="13" spans="1:7" ht="15" thickBot="1" x14ac:dyDescent="0.25">
      <c r="A13" s="49" t="s">
        <v>95</v>
      </c>
      <c r="B13" s="177">
        <f>MIN(B12,Fileduur!B9)</f>
        <v>3.9635675913346895</v>
      </c>
      <c r="C13" s="171" t="s">
        <v>88</v>
      </c>
      <c r="D13" s="159"/>
      <c r="E13" s="143"/>
    </row>
    <row r="14" spans="1:7" ht="15" thickBot="1" x14ac:dyDescent="0.25">
      <c r="A14" s="49" t="s">
        <v>97</v>
      </c>
      <c r="B14" s="150">
        <v>5632</v>
      </c>
      <c r="C14" s="171" t="s">
        <v>89</v>
      </c>
      <c r="D14" s="178">
        <f>B11*B13*(B14/60)*365</f>
        <v>20369.566565387235</v>
      </c>
      <c r="E14" s="181" t="s">
        <v>108</v>
      </c>
    </row>
    <row r="15" spans="1:7" x14ac:dyDescent="0.2">
      <c r="A15" s="8"/>
    </row>
    <row r="16" spans="1:7" s="3" customFormat="1" ht="19.5" customHeight="1" thickBot="1" x14ac:dyDescent="0.25">
      <c r="A16" s="54" t="s">
        <v>11</v>
      </c>
      <c r="B16" s="119" t="s">
        <v>81</v>
      </c>
      <c r="C16" s="119"/>
      <c r="D16" s="45" t="s">
        <v>82</v>
      </c>
    </row>
    <row r="17" spans="1:7" s="3" customFormat="1" ht="21.75" customHeight="1" thickBot="1" x14ac:dyDescent="0.25">
      <c r="A17" s="49" t="s">
        <v>10</v>
      </c>
      <c r="B17" s="144">
        <v>3</v>
      </c>
      <c r="C17" s="52"/>
      <c r="D17" s="117">
        <f>VLOOKUP(B17,achtergrondinformatie!$B$2:$F$5,5,0)</f>
        <v>1.1000000000000001</v>
      </c>
    </row>
    <row r="18" spans="1:7" s="3" customFormat="1" ht="21.75" customHeight="1" thickBot="1" x14ac:dyDescent="0.25">
      <c r="A18" s="48" t="s">
        <v>5</v>
      </c>
      <c r="B18" s="144" t="s">
        <v>18</v>
      </c>
      <c r="C18" s="52" t="s">
        <v>13</v>
      </c>
      <c r="D18" s="117">
        <f>VLOOKUP(B18,achtergrondinformatie!$B$6:$F$7,5,0)</f>
        <v>1</v>
      </c>
    </row>
    <row r="19" spans="1:7" s="3" customFormat="1" ht="21.75" customHeight="1" thickBot="1" x14ac:dyDescent="0.25">
      <c r="A19" s="48" t="s">
        <v>3</v>
      </c>
      <c r="B19" s="145">
        <v>1000</v>
      </c>
      <c r="C19" s="51" t="s">
        <v>2</v>
      </c>
      <c r="D19" s="149">
        <f>IF(B7="landtunnel",IF(B19&lt;achtergrondinformatie!D10,achtergrondinformatie!F10,IF(AND(Rekensheet!B19&gt;=achtergrondinformatie!D10,Rekensheet!B19&lt;=achtergrondinformatie!D11),(0.25*150%+(B19/1000-0.25)*100%)/(B19/1000),(0.25*150%+4.75*100%+(Rekensheet!B19/1000-5)*100%)/(Rekensheet!B19/1000))),IF(B19&lt;achtergrondinformatie!D10,achtergrondinformatie!F10,IF(AND(Rekensheet!B19&gt;=achtergrondinformatie!D10,Rekensheet!B19&lt;=achtergrondinformatie!D11),achtergrondinformatie!F11,achtergrondinformatie!F12)))</f>
        <v>1.125</v>
      </c>
    </row>
    <row r="20" spans="1:7" s="3" customFormat="1" ht="21.75" customHeight="1" thickBot="1" x14ac:dyDescent="0.25">
      <c r="A20" s="48" t="s">
        <v>32</v>
      </c>
      <c r="B20" s="144">
        <v>3.25</v>
      </c>
      <c r="C20" s="52" t="s">
        <v>2</v>
      </c>
      <c r="D20" s="149">
        <f>IF(B20&gt;=achtergrondinformatie!D15,achtergrondinformatie!F15,IF(Rekensheet!B20&lt;achtergrondinformatie!D13,achtergrondinformatie!F13,achtergrondinformatie!F14))</f>
        <v>1.25</v>
      </c>
    </row>
    <row r="21" spans="1:7" s="3" customFormat="1" ht="21.75" customHeight="1" thickBot="1" x14ac:dyDescent="0.25">
      <c r="A21" s="48" t="s">
        <v>40</v>
      </c>
      <c r="B21" s="144">
        <v>1.5</v>
      </c>
      <c r="C21" s="52" t="s">
        <v>2</v>
      </c>
      <c r="D21" s="149">
        <f>IF(B21&lt;achtergrondinformatie!D16,achtergrondinformatie!F16,IF(Rekensheet!B21&lt;achtergrondinformatie!D17,achtergrondinformatie!F17,IF(Rekensheet!B21&lt;achtergrondinformatie!D18,achtergrondinformatie!F18,IF(Rekensheet!B21&lt;achtergrondinformatie!D19,achtergrondinformatie!F19,IF(Rekensheet!B21=achtergrondinformatie!D20,achtergrondinformatie!F20,achtergrondinformatie!F21)))))</f>
        <v>0.95</v>
      </c>
    </row>
    <row r="22" spans="1:7" s="3" customFormat="1" ht="21.75" customHeight="1" thickBot="1" x14ac:dyDescent="0.25">
      <c r="A22" s="49" t="str">
        <f>"Afstand  "&amp;B9&amp;" tot tunnel"</f>
        <v>Afstand  Samenvoeger tot tunnel</v>
      </c>
      <c r="B22" s="144">
        <v>500</v>
      </c>
      <c r="C22" s="52" t="s">
        <v>2</v>
      </c>
      <c r="D22" s="149">
        <f>IF(B22&gt;=2*D9,1,IF(B22&gt;D9,1.05,IF(B22=D9,1,1.3)))</f>
        <v>1.05</v>
      </c>
    </row>
    <row r="23" spans="1:7" s="3" customFormat="1" ht="21.75" customHeight="1" thickBot="1" x14ac:dyDescent="0.25">
      <c r="A23" s="49" t="str">
        <f>"Afstand  tunnel tot "&amp;B10</f>
        <v>Afstand  tunnel tot Afstreping</v>
      </c>
      <c r="B23" s="144">
        <v>300</v>
      </c>
      <c r="C23" s="52" t="s">
        <v>2</v>
      </c>
      <c r="D23" s="149">
        <f>IF(B23&gt;=2*D10,1,IF(B23&gt;D10,1.05,IF(B23=D10,1,1.3)))</f>
        <v>1.05</v>
      </c>
    </row>
    <row r="24" spans="1:7" s="3" customFormat="1" ht="21.75" customHeight="1" thickBot="1" x14ac:dyDescent="0.25">
      <c r="A24" s="49" t="s">
        <v>90</v>
      </c>
      <c r="B24" s="158">
        <v>5139200</v>
      </c>
      <c r="C24" s="52" t="s">
        <v>91</v>
      </c>
      <c r="D24" s="149">
        <f>10*D14/B24+(B24-D14)/B24</f>
        <v>1.0356721083220122</v>
      </c>
    </row>
    <row r="25" spans="1:7" s="3" customFormat="1" ht="21.75" customHeight="1" thickBot="1" x14ac:dyDescent="0.25">
      <c r="A25" s="49" t="s">
        <v>79</v>
      </c>
      <c r="B25" s="148">
        <v>0</v>
      </c>
      <c r="C25" s="52" t="s">
        <v>16</v>
      </c>
      <c r="D25" s="149">
        <f>IF(B25&lt;=achtergrondinformatie!D22,achtergrondinformatie!F22,IF(Rekensheet!B25&lt;=achtergrondinformatie!D23,achtergrondinformatie!F23,IF(Rekensheet!B25&lt;=achtergrondinformatie!D24,achtergrondinformatie!F24,IF(Rekensheet!B25&lt;=achtergrondinformatie!D25,achtergrondinformatie!F25,achtergrondinformatie!F26))))</f>
        <v>1</v>
      </c>
    </row>
    <row r="26" spans="1:7" s="3" customFormat="1" ht="21.75" customHeight="1" thickBot="1" x14ac:dyDescent="0.25">
      <c r="A26" s="49" t="s">
        <v>80</v>
      </c>
      <c r="B26" s="144">
        <v>0</v>
      </c>
      <c r="C26" s="52" t="s">
        <v>8</v>
      </c>
      <c r="D26" s="149">
        <f>VLOOKUP(B26,achtergrondinformatie!B27:F32,5,0)</f>
        <v>1</v>
      </c>
    </row>
    <row r="27" spans="1:7" s="3" customFormat="1" ht="21.75" customHeight="1" thickBot="1" x14ac:dyDescent="0.25">
      <c r="A27" s="49" t="s">
        <v>52</v>
      </c>
      <c r="B27" s="144">
        <v>0</v>
      </c>
      <c r="C27" s="52" t="s">
        <v>2</v>
      </c>
      <c r="D27" s="117">
        <f>IF(B27=achtergrondinformatie!D33,achtergrondinformatie!F33,IF(Rekensheet!B27&lt;achtergrondinformatie!D36,achtergrondinformatie!F36,IF(Rekensheet!B27&lt;achtergrondinformatie!D35,achtergrondinformatie!F35,achtergrondinformatie!F34)))</f>
        <v>1</v>
      </c>
    </row>
    <row r="28" spans="1:7" s="3" customFormat="1" ht="21.75" customHeight="1" thickBot="1" x14ac:dyDescent="0.25">
      <c r="A28" s="49" t="s">
        <v>53</v>
      </c>
      <c r="B28" s="180">
        <v>12400</v>
      </c>
      <c r="C28" s="52" t="s">
        <v>2</v>
      </c>
      <c r="D28" s="117">
        <f>IF(OR(B8=80,B8=100),IF(B28&lt;achtergrondinformatie!D41,achtergrondinformatie!F41,IF(Rekensheet!B28=achtergrondinformatie!D40,achtergrondinformatie!F40,achtergrondinformatie!F39)),IF(Rekensheet!B28&lt;achtergrondinformatie!D44,achtergrondinformatie!F44,IF(Rekensheet!B28=achtergrondinformatie!D43,achtergrondinformatie!F43,achtergrondinformatie!F42)))</f>
        <v>1</v>
      </c>
      <c r="G28" s="179" t="s">
        <v>107</v>
      </c>
    </row>
    <row r="29" spans="1:7" s="3" customFormat="1" ht="21.75" customHeight="1" thickBot="1" x14ac:dyDescent="0.25">
      <c r="A29" s="48" t="s">
        <v>0</v>
      </c>
      <c r="B29" s="144">
        <v>100</v>
      </c>
      <c r="C29" s="52" t="s">
        <v>16</v>
      </c>
      <c r="D29" s="117">
        <f>(B29/100)^2</f>
        <v>1</v>
      </c>
    </row>
    <row r="30" spans="1:7" s="3" customFormat="1" ht="21.75" customHeight="1" thickBot="1" x14ac:dyDescent="0.25">
      <c r="A30" s="50" t="s">
        <v>1</v>
      </c>
      <c r="B30" s="146">
        <v>0.5</v>
      </c>
      <c r="C30" s="53"/>
      <c r="D30" s="117">
        <f>IF(B30&lt;achtergrondinformatie!D51,achtergrondinformatie!F51,IF(Rekensheet!B30&lt;achtergrondinformatie!D52,achtergrondinformatie!F52,IF(Rekensheet!B30&lt;achtergrondinformatie!D53,achtergrondinformatie!F53,achtergrondinformatie!F54)))</f>
        <v>1</v>
      </c>
    </row>
    <row r="31" spans="1:7" s="3" customFormat="1" ht="21.75" customHeight="1" thickBot="1" x14ac:dyDescent="0.25">
      <c r="A31" s="49" t="s">
        <v>99</v>
      </c>
      <c r="B31" s="144">
        <v>15</v>
      </c>
      <c r="C31" s="52" t="s">
        <v>8</v>
      </c>
      <c r="D31" s="117">
        <f>IF(B31&lt;=achtergrondinformatie!D55,achtergrondinformatie!F55,IF(Rekensheet!B31&lt;=achtergrondinformatie!D56,achtergrondinformatie!F56,IF(Rekensheet!B31&lt;=achtergrondinformatie!D57,achtergrondinformatie!F57,IF(Rekensheet!B31&lt;=achtergrondinformatie!D58,achtergrondinformatie!F58,achtergrondinformatie!F59))))</f>
        <v>1</v>
      </c>
    </row>
    <row r="32" spans="1:7" s="3" customFormat="1" ht="12.75" x14ac:dyDescent="0.2">
      <c r="C32" s="5"/>
      <c r="E32" s="6"/>
      <c r="F32" s="6"/>
      <c r="G32" s="4"/>
    </row>
    <row r="33" spans="1:7" s="3" customFormat="1" ht="15" customHeight="1" x14ac:dyDescent="0.2">
      <c r="A33" s="55" t="s">
        <v>83</v>
      </c>
      <c r="B33" s="160">
        <f>D17*D18*D19*D20*D21*D22*D23*D24*D25*D26*D27*D28*D29*D30*D31</f>
        <v>1.6779526620456717</v>
      </c>
      <c r="C33" s="152"/>
      <c r="D33" s="152"/>
      <c r="F33" s="9"/>
    </row>
    <row r="34" spans="1:7" s="3" customFormat="1" ht="15" customHeight="1" x14ac:dyDescent="0.2">
      <c r="A34" s="55"/>
      <c r="B34" s="160"/>
      <c r="C34" s="152"/>
      <c r="D34" s="152"/>
      <c r="F34" s="9"/>
    </row>
    <row r="35" spans="1:7" s="3" customFormat="1" ht="15" customHeight="1" x14ac:dyDescent="0.2">
      <c r="A35" s="120" t="s">
        <v>84</v>
      </c>
      <c r="B35" s="162">
        <v>0.5</v>
      </c>
      <c r="C35" s="162" t="s">
        <v>86</v>
      </c>
      <c r="D35" s="154" t="s">
        <v>92</v>
      </c>
      <c r="F35" s="9"/>
      <c r="G35" s="59"/>
    </row>
    <row r="36" spans="1:7" s="3" customFormat="1" ht="15" customHeight="1" x14ac:dyDescent="0.2">
      <c r="A36" s="120"/>
      <c r="B36" s="162"/>
      <c r="C36" s="162"/>
      <c r="D36" s="154" t="s">
        <v>93</v>
      </c>
      <c r="F36" s="10"/>
      <c r="G36" s="57"/>
    </row>
    <row r="37" spans="1:7" ht="2.25" customHeight="1" thickBot="1" x14ac:dyDescent="0.25">
      <c r="A37" s="121"/>
      <c r="B37" s="163"/>
      <c r="C37" s="163"/>
      <c r="D37" s="155"/>
    </row>
    <row r="38" spans="1:7" ht="17.25" customHeight="1" x14ac:dyDescent="0.2">
      <c r="A38" s="55"/>
      <c r="B38" s="160">
        <f>B33*B35</f>
        <v>0.83897633102283586</v>
      </c>
      <c r="C38" s="165" t="s">
        <v>86</v>
      </c>
      <c r="D38" s="156" t="s">
        <v>92</v>
      </c>
      <c r="G38" s="60"/>
    </row>
    <row r="39" spans="1:7" ht="17.25" customHeight="1" x14ac:dyDescent="0.2">
      <c r="A39" s="55" t="s">
        <v>85</v>
      </c>
      <c r="B39" s="160"/>
      <c r="C39" s="165"/>
      <c r="D39" s="157" t="s">
        <v>93</v>
      </c>
      <c r="G39" s="58"/>
    </row>
    <row r="40" spans="1:7" ht="15" customHeight="1" thickBot="1" x14ac:dyDescent="0.25">
      <c r="A40" s="56"/>
      <c r="B40" s="161"/>
      <c r="C40" s="166"/>
      <c r="D40" s="153"/>
      <c r="G40" s="58"/>
    </row>
    <row r="41" spans="1:7" x14ac:dyDescent="0.2">
      <c r="G41" s="58"/>
    </row>
  </sheetData>
  <mergeCells count="6">
    <mergeCell ref="B38:B40"/>
    <mergeCell ref="B35:B37"/>
    <mergeCell ref="B33:B34"/>
    <mergeCell ref="A1:D1"/>
    <mergeCell ref="C35:C37"/>
    <mergeCell ref="C38:C40"/>
  </mergeCells>
  <dataValidations count="4">
    <dataValidation type="whole" operator="greaterThan" allowBlank="1" showInputMessage="1" showErrorMessage="1" sqref="B19 B22:B24 B14">
      <formula1>0</formula1>
    </dataValidation>
    <dataValidation type="list" allowBlank="1" showInputMessage="1" showErrorMessage="1" sqref="B7">
      <formula1>Type_tunnel</formula1>
    </dataValidation>
    <dataValidation type="decimal" allowBlank="1" showInputMessage="1" showErrorMessage="1" sqref="B13">
      <formula1>0</formula1>
      <formula2>60</formula2>
    </dataValidation>
    <dataValidation operator="greaterThan" allowBlank="1" showInputMessage="1" showErrorMessage="1" sqref="B11:B12"/>
  </dataValidations>
  <pageMargins left="0.7" right="0.7" top="0.75" bottom="0.75" header="0.3" footer="0.3"/>
  <pageSetup paperSize="9" scale="72" orientation="portrait" r:id="rId1"/>
  <headerFooter>
    <oddFooter>&amp;C&amp;F&amp;L075885177:0.11!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achtergrondinformatie!$B$45:$B$50</xm:f>
          </x14:formula1>
          <xm:sqref>B29</xm:sqref>
        </x14:dataValidation>
        <x14:dataValidation type="list" allowBlank="1" showInputMessage="1" showErrorMessage="1">
          <x14:formula1>
            <xm:f>achtergrondinformatie!$B$2:$B$5</xm:f>
          </x14:formula1>
          <xm:sqref>B17</xm:sqref>
        </x14:dataValidation>
        <x14:dataValidation type="list" allowBlank="1" showInputMessage="1" showErrorMessage="1">
          <x14:formula1>
            <xm:f>achtergrondinformatie!$B$6:$B$7</xm:f>
          </x14:formula1>
          <xm:sqref>B18</xm:sqref>
        </x14:dataValidation>
        <x14:dataValidation type="list" allowBlank="1" showInputMessage="1" showErrorMessage="1">
          <x14:formula1>
            <xm:f>achtergrondinformatie!$B$27:$B$32</xm:f>
          </x14:formula1>
          <xm:sqref>B26</xm:sqref>
        </x14:dataValidation>
        <x14:dataValidation type="list" allowBlank="1" showInputMessage="1" showErrorMessage="1">
          <x14:formula1>
            <xm:f>achtergrondinformatie!$B$47:$B$49</xm:f>
          </x14:formula1>
          <xm:sqref>B8</xm:sqref>
        </x14:dataValidation>
        <x14:dataValidation type="list" allowBlank="1" showInputMessage="1" showErrorMessage="1">
          <x14:formula1>
            <xm:f>'Bijlage B'!$A$3:$A$9</xm:f>
          </x14:formula1>
          <xm:sqref>B9</xm:sqref>
        </x14:dataValidation>
        <x14:dataValidation type="list" allowBlank="1" showInputMessage="1" showErrorMessage="1">
          <x14:formula1>
            <xm:f>'Bijlage B'!$A$12:$A$18</xm:f>
          </x14:formula1>
          <xm:sqref>B10</xm:sqref>
        </x14:dataValidation>
        <x14:dataValidation type="decimal" operator="greaterThanOrEqual" allowBlank="1" showInputMessage="1" showErrorMessage="1">
          <x14:formula1>
            <xm:f>achtergrondinformatie!B55</xm:f>
          </x14:formula1>
          <xm:sqref>B31</xm:sqref>
        </x14:dataValidation>
        <x14:dataValidation type="whole" operator="greaterThanOrEqual" allowBlank="1" showInputMessage="1" showErrorMessage="1">
          <x14:formula1>
            <xm:f>achtergrondinformatie!D33</xm:f>
          </x14:formula1>
          <xm:sqref>B27:B28</xm:sqref>
        </x14:dataValidation>
        <x14:dataValidation type="decimal" operator="greaterThanOrEqual" allowBlank="1" showInputMessage="1" showErrorMessage="1">
          <x14:formula1>
            <xm:f>achtergrondinformatie!B22</xm:f>
          </x14:formula1>
          <xm:sqref>B25</xm:sqref>
        </x14:dataValidation>
        <x14:dataValidation type="decimal" allowBlank="1" showInputMessage="1" showErrorMessage="1">
          <x14:formula1>
            <xm:f>achtergrondinformatie!B13</xm:f>
          </x14:formula1>
          <x14:formula2>
            <xm:f>achtergrondinformatie!B15</xm:f>
          </x14:formula2>
          <xm:sqref>B20</xm:sqref>
        </x14:dataValidation>
        <x14:dataValidation type="decimal" allowBlank="1" showInputMessage="1" showErrorMessage="1">
          <x14:formula1>
            <xm:f>achtergrondinformatie!B16</xm:f>
          </x14:formula1>
          <x14:formula2>
            <xm:f>achtergrondinformatie!D21</xm:f>
          </x14:formula2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19" zoomScale="85" zoomScaleNormal="85" workbookViewId="0">
      <selection activeCell="D35" sqref="D35"/>
    </sheetView>
  </sheetViews>
  <sheetFormatPr defaultRowHeight="14.25" x14ac:dyDescent="0.2"/>
  <cols>
    <col min="1" max="1" width="71" style="1" bestFit="1" customWidth="1"/>
    <col min="2" max="2" width="17.5703125" style="1" bestFit="1" customWidth="1"/>
    <col min="3" max="3" width="15" style="1" bestFit="1" customWidth="1"/>
    <col min="4" max="4" width="8.42578125" style="1" bestFit="1" customWidth="1"/>
    <col min="5" max="5" width="10.85546875" style="43" bestFit="1" customWidth="1"/>
    <col min="6" max="6" width="26" style="46" bestFit="1" customWidth="1"/>
    <col min="7" max="7" width="59.7109375" style="1" customWidth="1"/>
    <col min="8" max="16384" width="9.140625" style="1"/>
  </cols>
  <sheetData>
    <row r="1" spans="1:7" ht="15" x14ac:dyDescent="0.2">
      <c r="A1" s="12" t="s">
        <v>11</v>
      </c>
      <c r="B1" s="13" t="s">
        <v>14</v>
      </c>
      <c r="C1" s="68"/>
      <c r="D1" s="68"/>
      <c r="E1" s="14"/>
      <c r="F1" s="15" t="s">
        <v>12</v>
      </c>
      <c r="G1" s="44" t="s">
        <v>21</v>
      </c>
    </row>
    <row r="2" spans="1:7" x14ac:dyDescent="0.2">
      <c r="A2" s="36" t="s">
        <v>10</v>
      </c>
      <c r="B2" s="17">
        <v>1</v>
      </c>
      <c r="C2" s="69"/>
      <c r="D2" s="69"/>
      <c r="E2" s="18"/>
      <c r="F2" s="40">
        <v>0.75</v>
      </c>
    </row>
    <row r="3" spans="1:7" x14ac:dyDescent="0.2">
      <c r="A3" s="37"/>
      <c r="B3" s="20">
        <v>2</v>
      </c>
      <c r="C3" s="70"/>
      <c r="D3" s="70"/>
      <c r="E3" s="21"/>
      <c r="F3" s="30">
        <v>1</v>
      </c>
    </row>
    <row r="4" spans="1:7" x14ac:dyDescent="0.2">
      <c r="A4" s="37"/>
      <c r="B4" s="35">
        <v>3</v>
      </c>
      <c r="C4" s="71"/>
      <c r="D4" s="71"/>
      <c r="E4" s="21"/>
      <c r="F4" s="30">
        <v>1.1000000000000001</v>
      </c>
    </row>
    <row r="5" spans="1:7" x14ac:dyDescent="0.2">
      <c r="A5" s="39"/>
      <c r="B5" s="23">
        <v>4</v>
      </c>
      <c r="C5" s="72"/>
      <c r="D5" s="72"/>
      <c r="E5" s="24"/>
      <c r="F5" s="25">
        <v>1.1499999999999999</v>
      </c>
    </row>
    <row r="6" spans="1:7" x14ac:dyDescent="0.2">
      <c r="A6" s="16" t="s">
        <v>5</v>
      </c>
      <c r="B6" s="17" t="s">
        <v>7</v>
      </c>
      <c r="C6" s="69"/>
      <c r="D6" s="69"/>
      <c r="E6" s="18"/>
      <c r="F6" s="40">
        <v>0.85</v>
      </c>
    </row>
    <row r="7" spans="1:7" x14ac:dyDescent="0.2">
      <c r="A7" s="19"/>
      <c r="B7" s="20" t="s">
        <v>18</v>
      </c>
      <c r="C7" s="70"/>
      <c r="D7" s="70"/>
      <c r="E7" s="21"/>
      <c r="F7" s="30">
        <v>1</v>
      </c>
    </row>
    <row r="8" spans="1:7" x14ac:dyDescent="0.2">
      <c r="A8" s="61" t="s">
        <v>35</v>
      </c>
      <c r="B8" s="62" t="s">
        <v>36</v>
      </c>
      <c r="C8" s="73"/>
      <c r="D8" s="73"/>
      <c r="E8" s="63"/>
      <c r="F8" s="64"/>
    </row>
    <row r="9" spans="1:7" x14ac:dyDescent="0.2">
      <c r="A9" s="65"/>
      <c r="B9" s="66" t="s">
        <v>37</v>
      </c>
      <c r="C9" s="74"/>
      <c r="D9" s="74"/>
      <c r="E9" s="42"/>
      <c r="F9" s="67"/>
    </row>
    <row r="10" spans="1:7" x14ac:dyDescent="0.2">
      <c r="A10" s="19" t="s">
        <v>31</v>
      </c>
      <c r="B10" s="20">
        <v>0</v>
      </c>
      <c r="C10" s="70" t="s">
        <v>43</v>
      </c>
      <c r="D10" s="70">
        <v>250</v>
      </c>
      <c r="E10" s="21" t="s">
        <v>2</v>
      </c>
      <c r="F10" s="30">
        <v>1.5</v>
      </c>
    </row>
    <row r="11" spans="1:7" x14ac:dyDescent="0.2">
      <c r="A11" s="19"/>
      <c r="B11" s="20">
        <v>250</v>
      </c>
      <c r="C11" s="70" t="s">
        <v>44</v>
      </c>
      <c r="D11" s="70">
        <v>5000</v>
      </c>
      <c r="E11" s="21" t="s">
        <v>2</v>
      </c>
      <c r="F11" s="30">
        <v>1</v>
      </c>
    </row>
    <row r="12" spans="1:7" x14ac:dyDescent="0.2">
      <c r="A12" s="19"/>
      <c r="B12" s="20"/>
      <c r="C12" s="70" t="s">
        <v>45</v>
      </c>
      <c r="D12" s="70">
        <v>5000</v>
      </c>
      <c r="E12" s="21" t="s">
        <v>2</v>
      </c>
      <c r="F12" s="30">
        <v>1.25</v>
      </c>
    </row>
    <row r="13" spans="1:7" x14ac:dyDescent="0.2">
      <c r="A13" s="16" t="s">
        <v>4</v>
      </c>
      <c r="B13" s="17">
        <v>3</v>
      </c>
      <c r="C13" s="69" t="s">
        <v>38</v>
      </c>
      <c r="D13" s="69">
        <v>3.25</v>
      </c>
      <c r="E13" s="18" t="s">
        <v>2</v>
      </c>
      <c r="F13" s="40">
        <v>1.5</v>
      </c>
    </row>
    <row r="14" spans="1:7" x14ac:dyDescent="0.2">
      <c r="A14" s="19"/>
      <c r="B14" s="20">
        <v>3.25</v>
      </c>
      <c r="C14" s="70" t="s">
        <v>38</v>
      </c>
      <c r="D14" s="70">
        <v>3.5</v>
      </c>
      <c r="E14" s="21" t="s">
        <v>2</v>
      </c>
      <c r="F14" s="30">
        <v>1.25</v>
      </c>
    </row>
    <row r="15" spans="1:7" x14ac:dyDescent="0.2">
      <c r="A15" s="19"/>
      <c r="B15" s="20"/>
      <c r="C15" s="70" t="s">
        <v>39</v>
      </c>
      <c r="D15" s="70">
        <v>3.5</v>
      </c>
      <c r="E15" s="21" t="s">
        <v>2</v>
      </c>
      <c r="F15" s="30">
        <v>1</v>
      </c>
    </row>
    <row r="16" spans="1:7" x14ac:dyDescent="0.2">
      <c r="A16" s="16" t="s">
        <v>34</v>
      </c>
      <c r="B16" s="17">
        <v>0</v>
      </c>
      <c r="C16" s="69" t="s">
        <v>38</v>
      </c>
      <c r="D16" s="69">
        <v>0.4</v>
      </c>
      <c r="E16" s="18" t="s">
        <v>2</v>
      </c>
      <c r="F16" s="40">
        <v>1.5</v>
      </c>
    </row>
    <row r="17" spans="1:6" x14ac:dyDescent="0.2">
      <c r="A17" s="19"/>
      <c r="B17" s="20">
        <v>0.4</v>
      </c>
      <c r="C17" s="70" t="s">
        <v>38</v>
      </c>
      <c r="D17" s="70">
        <v>0.6</v>
      </c>
      <c r="E17" s="21" t="s">
        <v>2</v>
      </c>
      <c r="F17" s="30">
        <v>1.3</v>
      </c>
    </row>
    <row r="18" spans="1:6" x14ac:dyDescent="0.2">
      <c r="A18" s="19"/>
      <c r="B18" s="20">
        <v>0.6</v>
      </c>
      <c r="C18" s="70" t="s">
        <v>38</v>
      </c>
      <c r="D18" s="70">
        <v>0.8</v>
      </c>
      <c r="E18" s="21" t="s">
        <v>2</v>
      </c>
      <c r="F18" s="30">
        <v>1.1499999999999999</v>
      </c>
    </row>
    <row r="19" spans="1:6" x14ac:dyDescent="0.2">
      <c r="A19" s="19"/>
      <c r="B19" s="20">
        <v>0.8</v>
      </c>
      <c r="C19" s="70" t="s">
        <v>38</v>
      </c>
      <c r="D19" s="70">
        <v>1</v>
      </c>
      <c r="E19" s="21" t="s">
        <v>2</v>
      </c>
      <c r="F19" s="30">
        <v>1.05</v>
      </c>
    </row>
    <row r="20" spans="1:6" x14ac:dyDescent="0.2">
      <c r="A20" s="19"/>
      <c r="B20" s="20"/>
      <c r="C20" s="70" t="s">
        <v>39</v>
      </c>
      <c r="D20" s="70">
        <v>1</v>
      </c>
      <c r="E20" s="21" t="s">
        <v>2</v>
      </c>
      <c r="F20" s="30">
        <v>1</v>
      </c>
    </row>
    <row r="21" spans="1:6" x14ac:dyDescent="0.2">
      <c r="A21" s="22"/>
      <c r="B21" s="23">
        <v>1</v>
      </c>
      <c r="C21" s="72" t="s">
        <v>46</v>
      </c>
      <c r="D21" s="72">
        <v>1.5</v>
      </c>
      <c r="E21" s="24" t="s">
        <v>2</v>
      </c>
      <c r="F21" s="25">
        <v>0.95</v>
      </c>
    </row>
    <row r="22" spans="1:6" x14ac:dyDescent="0.2">
      <c r="A22" s="16" t="s">
        <v>33</v>
      </c>
      <c r="B22" s="82">
        <v>0</v>
      </c>
      <c r="C22" s="75" t="s">
        <v>42</v>
      </c>
      <c r="D22" s="83">
        <v>5</v>
      </c>
      <c r="E22" s="26" t="s">
        <v>16</v>
      </c>
      <c r="F22" s="33">
        <v>1</v>
      </c>
    </row>
    <row r="23" spans="1:6" x14ac:dyDescent="0.2">
      <c r="A23" s="19"/>
      <c r="B23" s="85">
        <v>5</v>
      </c>
      <c r="C23" s="78" t="s">
        <v>42</v>
      </c>
      <c r="D23" s="84">
        <v>10</v>
      </c>
      <c r="E23" s="28" t="s">
        <v>16</v>
      </c>
      <c r="F23" s="29">
        <v>1.02</v>
      </c>
    </row>
    <row r="24" spans="1:6" x14ac:dyDescent="0.2">
      <c r="A24" s="19"/>
      <c r="B24" s="85">
        <v>10</v>
      </c>
      <c r="C24" s="78" t="s">
        <v>42</v>
      </c>
      <c r="D24" s="84">
        <v>15</v>
      </c>
      <c r="E24" s="28" t="s">
        <v>16</v>
      </c>
      <c r="F24" s="29">
        <v>1.05</v>
      </c>
    </row>
    <row r="25" spans="1:6" x14ac:dyDescent="0.2">
      <c r="A25" s="19"/>
      <c r="B25" s="85">
        <v>15</v>
      </c>
      <c r="C25" s="78" t="s">
        <v>42</v>
      </c>
      <c r="D25" s="84">
        <v>20</v>
      </c>
      <c r="E25" s="28" t="s">
        <v>16</v>
      </c>
      <c r="F25" s="29">
        <v>1.1000000000000001</v>
      </c>
    </row>
    <row r="26" spans="1:6" x14ac:dyDescent="0.2">
      <c r="A26" s="19"/>
      <c r="B26" s="85"/>
      <c r="C26" s="76" t="s">
        <v>45</v>
      </c>
      <c r="D26" s="84">
        <v>20</v>
      </c>
      <c r="E26" s="28" t="s">
        <v>16</v>
      </c>
      <c r="F26" s="29">
        <v>1.2</v>
      </c>
    </row>
    <row r="27" spans="1:6" x14ac:dyDescent="0.2">
      <c r="A27" s="86" t="s">
        <v>41</v>
      </c>
      <c r="B27" s="87">
        <v>0</v>
      </c>
      <c r="C27" s="88"/>
      <c r="D27" s="89"/>
      <c r="E27" s="90" t="s">
        <v>8</v>
      </c>
      <c r="F27" s="91">
        <v>1</v>
      </c>
    </row>
    <row r="28" spans="1:6" x14ac:dyDescent="0.2">
      <c r="A28" s="92"/>
      <c r="B28" s="85">
        <v>1</v>
      </c>
      <c r="C28" s="76"/>
      <c r="D28" s="84"/>
      <c r="E28" s="28"/>
      <c r="F28" s="93">
        <v>1</v>
      </c>
    </row>
    <row r="29" spans="1:6" x14ac:dyDescent="0.2">
      <c r="A29" s="92"/>
      <c r="B29" s="85">
        <v>2</v>
      </c>
      <c r="C29" s="76"/>
      <c r="D29" s="84"/>
      <c r="E29" s="28" t="s">
        <v>8</v>
      </c>
      <c r="F29" s="93">
        <v>1.01</v>
      </c>
    </row>
    <row r="30" spans="1:6" x14ac:dyDescent="0.2">
      <c r="A30" s="92"/>
      <c r="B30" s="85">
        <v>3</v>
      </c>
      <c r="C30" s="76"/>
      <c r="D30" s="84"/>
      <c r="E30" s="28" t="s">
        <v>8</v>
      </c>
      <c r="F30" s="93">
        <v>1.03</v>
      </c>
    </row>
    <row r="31" spans="1:6" x14ac:dyDescent="0.2">
      <c r="A31" s="35"/>
      <c r="B31" s="27">
        <v>4</v>
      </c>
      <c r="C31" s="76"/>
      <c r="D31" s="84"/>
      <c r="E31" s="28" t="s">
        <v>8</v>
      </c>
      <c r="F31" s="93">
        <v>1.05</v>
      </c>
    </row>
    <row r="32" spans="1:6" x14ac:dyDescent="0.2">
      <c r="A32" s="94"/>
      <c r="B32" s="95">
        <v>5</v>
      </c>
      <c r="C32" s="96"/>
      <c r="D32" s="97"/>
      <c r="E32" s="98" t="s">
        <v>8</v>
      </c>
      <c r="F32" s="99">
        <v>1.1000000000000001</v>
      </c>
    </row>
    <row r="33" spans="1:7" x14ac:dyDescent="0.2">
      <c r="A33" s="19" t="s">
        <v>47</v>
      </c>
      <c r="B33" s="20" t="s">
        <v>48</v>
      </c>
      <c r="C33" s="70"/>
      <c r="D33" s="70">
        <v>0</v>
      </c>
      <c r="E33" s="21"/>
      <c r="F33" s="30">
        <v>1</v>
      </c>
    </row>
    <row r="34" spans="1:7" x14ac:dyDescent="0.2">
      <c r="A34" s="19"/>
      <c r="B34" s="20" t="s">
        <v>49</v>
      </c>
      <c r="C34" s="70" t="s">
        <v>50</v>
      </c>
      <c r="D34" s="70">
        <v>3000</v>
      </c>
      <c r="E34" s="21" t="s">
        <v>2</v>
      </c>
      <c r="F34" s="30">
        <v>0.95</v>
      </c>
    </row>
    <row r="35" spans="1:7" x14ac:dyDescent="0.2">
      <c r="A35" s="19"/>
      <c r="B35" s="20">
        <v>1000</v>
      </c>
      <c r="C35" s="70" t="s">
        <v>51</v>
      </c>
      <c r="D35" s="70">
        <v>3000</v>
      </c>
      <c r="E35" s="21" t="s">
        <v>2</v>
      </c>
      <c r="F35" s="30">
        <v>1.05</v>
      </c>
    </row>
    <row r="36" spans="1:7" x14ac:dyDescent="0.2">
      <c r="A36" s="19"/>
      <c r="B36" s="20" t="s">
        <v>49</v>
      </c>
      <c r="C36" s="70" t="s">
        <v>43</v>
      </c>
      <c r="D36" s="70">
        <v>1000</v>
      </c>
      <c r="E36" s="21" t="s">
        <v>2</v>
      </c>
      <c r="F36" s="30">
        <v>1.2</v>
      </c>
    </row>
    <row r="37" spans="1:7" x14ac:dyDescent="0.2">
      <c r="A37" s="86" t="s">
        <v>54</v>
      </c>
      <c r="B37" s="100" t="s">
        <v>55</v>
      </c>
      <c r="C37" s="101"/>
      <c r="D37" s="101"/>
      <c r="E37" s="63"/>
      <c r="F37" s="64"/>
    </row>
    <row r="38" spans="1:7" x14ac:dyDescent="0.2">
      <c r="A38" s="94"/>
      <c r="B38" s="41" t="s">
        <v>56</v>
      </c>
      <c r="C38" s="81"/>
      <c r="D38" s="81"/>
      <c r="E38" s="42"/>
      <c r="F38" s="67"/>
    </row>
    <row r="39" spans="1:7" x14ac:dyDescent="0.2">
      <c r="A39" s="16" t="s">
        <v>58</v>
      </c>
      <c r="B39" s="31" t="s">
        <v>57</v>
      </c>
      <c r="C39" s="77" t="s">
        <v>45</v>
      </c>
      <c r="D39" s="77">
        <v>6500</v>
      </c>
      <c r="E39" s="32" t="s">
        <v>2</v>
      </c>
      <c r="F39" s="33">
        <v>0.95</v>
      </c>
    </row>
    <row r="40" spans="1:7" x14ac:dyDescent="0.2">
      <c r="A40" s="19"/>
      <c r="B40" s="47" t="s">
        <v>57</v>
      </c>
      <c r="C40" s="79" t="s">
        <v>39</v>
      </c>
      <c r="D40" s="79">
        <v>6500</v>
      </c>
      <c r="E40" s="28" t="s">
        <v>2</v>
      </c>
      <c r="F40" s="29">
        <v>1</v>
      </c>
    </row>
    <row r="41" spans="1:7" x14ac:dyDescent="0.2">
      <c r="A41" s="19"/>
      <c r="B41" s="47" t="s">
        <v>57</v>
      </c>
      <c r="C41" s="79" t="s">
        <v>43</v>
      </c>
      <c r="D41" s="79">
        <v>6500</v>
      </c>
      <c r="E41" s="28" t="s">
        <v>2</v>
      </c>
      <c r="F41" s="29">
        <v>1.2</v>
      </c>
    </row>
    <row r="42" spans="1:7" x14ac:dyDescent="0.2">
      <c r="A42" s="86" t="s">
        <v>59</v>
      </c>
      <c r="B42" s="102" t="s">
        <v>57</v>
      </c>
      <c r="C42" s="103" t="s">
        <v>45</v>
      </c>
      <c r="D42" s="103">
        <v>12400</v>
      </c>
      <c r="E42" s="90" t="s">
        <v>2</v>
      </c>
      <c r="F42" s="91">
        <v>0.95</v>
      </c>
    </row>
    <row r="43" spans="1:7" x14ac:dyDescent="0.2">
      <c r="A43" s="92"/>
      <c r="B43" s="47" t="s">
        <v>57</v>
      </c>
      <c r="C43" s="79" t="s">
        <v>39</v>
      </c>
      <c r="D43" s="79">
        <v>12400</v>
      </c>
      <c r="E43" s="28" t="s">
        <v>2</v>
      </c>
      <c r="F43" s="93">
        <v>1</v>
      </c>
    </row>
    <row r="44" spans="1:7" ht="14.25" customHeight="1" x14ac:dyDescent="0.2">
      <c r="A44" s="94"/>
      <c r="B44" s="104" t="s">
        <v>57</v>
      </c>
      <c r="C44" s="105" t="s">
        <v>43</v>
      </c>
      <c r="D44" s="105">
        <v>12400</v>
      </c>
      <c r="E44" s="98" t="s">
        <v>2</v>
      </c>
      <c r="F44" s="93">
        <v>1.2</v>
      </c>
      <c r="G44" s="34"/>
    </row>
    <row r="45" spans="1:7" ht="15.75" customHeight="1" x14ac:dyDescent="0.2">
      <c r="A45" s="16" t="s">
        <v>0</v>
      </c>
      <c r="B45" s="17">
        <v>50</v>
      </c>
      <c r="C45" s="69"/>
      <c r="D45" s="69"/>
      <c r="E45" s="106" t="s">
        <v>16</v>
      </c>
      <c r="F45" s="108">
        <f>(B45/100)^2</f>
        <v>0.25</v>
      </c>
    </row>
    <row r="46" spans="1:7" ht="15.75" customHeight="1" x14ac:dyDescent="0.2">
      <c r="A46" s="19"/>
      <c r="B46" s="20">
        <v>70</v>
      </c>
      <c r="C46" s="70"/>
      <c r="D46" s="70"/>
      <c r="E46" s="107" t="s">
        <v>16</v>
      </c>
      <c r="F46" s="109">
        <f t="shared" ref="F46:F50" si="0">(B46/100)^2</f>
        <v>0.48999999999999994</v>
      </c>
    </row>
    <row r="47" spans="1:7" x14ac:dyDescent="0.2">
      <c r="A47" s="19"/>
      <c r="B47" s="35">
        <v>80</v>
      </c>
      <c r="C47" s="71"/>
      <c r="D47" s="71"/>
      <c r="E47" s="107" t="s">
        <v>16</v>
      </c>
      <c r="F47" s="109">
        <f t="shared" si="0"/>
        <v>0.64000000000000012</v>
      </c>
    </row>
    <row r="48" spans="1:7" x14ac:dyDescent="0.2">
      <c r="A48" s="19"/>
      <c r="B48" s="35">
        <v>100</v>
      </c>
      <c r="C48" s="71"/>
      <c r="D48" s="71"/>
      <c r="E48" s="107" t="s">
        <v>16</v>
      </c>
      <c r="F48" s="109">
        <f t="shared" si="0"/>
        <v>1</v>
      </c>
    </row>
    <row r="49" spans="1:7" x14ac:dyDescent="0.2">
      <c r="A49" s="19"/>
      <c r="B49" s="35">
        <v>120</v>
      </c>
      <c r="C49" s="71"/>
      <c r="D49" s="71"/>
      <c r="E49" s="107" t="s">
        <v>16</v>
      </c>
      <c r="F49" s="109">
        <f t="shared" si="0"/>
        <v>1.44</v>
      </c>
    </row>
    <row r="50" spans="1:7" x14ac:dyDescent="0.2">
      <c r="A50" s="19"/>
      <c r="B50" s="20">
        <v>130</v>
      </c>
      <c r="C50" s="70"/>
      <c r="D50" s="70"/>
      <c r="E50" s="107" t="s">
        <v>16</v>
      </c>
      <c r="F50" s="109">
        <f t="shared" si="0"/>
        <v>1.6900000000000002</v>
      </c>
    </row>
    <row r="51" spans="1:7" x14ac:dyDescent="0.2">
      <c r="A51" s="112" t="s">
        <v>1</v>
      </c>
      <c r="B51" s="100" t="s">
        <v>60</v>
      </c>
      <c r="C51" s="101" t="s">
        <v>43</v>
      </c>
      <c r="D51" s="101">
        <v>0.4</v>
      </c>
      <c r="E51" s="63"/>
      <c r="F51" s="64">
        <v>1.25</v>
      </c>
    </row>
    <row r="52" spans="1:7" x14ac:dyDescent="0.2">
      <c r="A52" s="110"/>
      <c r="B52" s="20">
        <v>0.4</v>
      </c>
      <c r="C52" s="70" t="s">
        <v>61</v>
      </c>
      <c r="D52" s="70">
        <v>0.7</v>
      </c>
      <c r="E52" s="21"/>
      <c r="F52" s="111">
        <v>1</v>
      </c>
    </row>
    <row r="53" spans="1:7" x14ac:dyDescent="0.2">
      <c r="A53" s="35"/>
      <c r="B53" s="20">
        <v>0.7</v>
      </c>
      <c r="C53" s="70" t="s">
        <v>61</v>
      </c>
      <c r="D53" s="70">
        <v>0.8</v>
      </c>
      <c r="E53" s="21"/>
      <c r="F53" s="111">
        <v>1.1000000000000001</v>
      </c>
    </row>
    <row r="54" spans="1:7" x14ac:dyDescent="0.2">
      <c r="A54" s="65"/>
      <c r="B54" s="41" t="s">
        <v>60</v>
      </c>
      <c r="C54" s="81" t="s">
        <v>50</v>
      </c>
      <c r="D54" s="81">
        <v>0.8</v>
      </c>
      <c r="E54" s="42"/>
      <c r="F54" s="67">
        <v>1.25</v>
      </c>
    </row>
    <row r="55" spans="1:7" x14ac:dyDescent="0.2">
      <c r="A55" s="37" t="s">
        <v>6</v>
      </c>
      <c r="B55" s="113">
        <v>0</v>
      </c>
      <c r="C55" s="70" t="s">
        <v>62</v>
      </c>
      <c r="D55" s="70">
        <v>5</v>
      </c>
      <c r="E55" s="21" t="s">
        <v>8</v>
      </c>
      <c r="F55" s="29">
        <v>0.9</v>
      </c>
    </row>
    <row r="56" spans="1:7" x14ac:dyDescent="0.2">
      <c r="A56" s="37"/>
      <c r="B56" s="114">
        <v>5</v>
      </c>
      <c r="C56" s="80" t="s">
        <v>63</v>
      </c>
      <c r="D56" s="115">
        <v>10</v>
      </c>
      <c r="E56" s="21" t="s">
        <v>8</v>
      </c>
      <c r="F56" s="29">
        <v>0.95</v>
      </c>
    </row>
    <row r="57" spans="1:7" x14ac:dyDescent="0.2">
      <c r="A57" s="37"/>
      <c r="B57" s="114">
        <v>10</v>
      </c>
      <c r="C57" s="80" t="s">
        <v>63</v>
      </c>
      <c r="D57" s="115">
        <v>15</v>
      </c>
      <c r="E57" s="21"/>
      <c r="F57" s="29">
        <v>1</v>
      </c>
    </row>
    <row r="58" spans="1:7" x14ac:dyDescent="0.2">
      <c r="A58" s="37"/>
      <c r="B58" s="113">
        <v>15</v>
      </c>
      <c r="C58" s="80" t="s">
        <v>63</v>
      </c>
      <c r="D58" s="116">
        <v>20</v>
      </c>
      <c r="E58" s="21" t="s">
        <v>8</v>
      </c>
      <c r="F58" s="29">
        <v>1.05</v>
      </c>
    </row>
    <row r="59" spans="1:7" x14ac:dyDescent="0.2">
      <c r="A59" s="37"/>
      <c r="B59" s="20"/>
      <c r="C59" s="70" t="s">
        <v>45</v>
      </c>
      <c r="D59" s="116">
        <v>20</v>
      </c>
      <c r="E59" s="21" t="s">
        <v>8</v>
      </c>
      <c r="F59" s="29">
        <v>1.1000000000000001</v>
      </c>
    </row>
    <row r="60" spans="1:7" x14ac:dyDescent="0.2">
      <c r="A60" s="122" t="s">
        <v>15</v>
      </c>
      <c r="B60" s="123" t="s">
        <v>22</v>
      </c>
      <c r="C60" s="124"/>
      <c r="D60" s="124"/>
      <c r="E60" s="125" t="s">
        <v>24</v>
      </c>
      <c r="F60" s="126" t="s">
        <v>13</v>
      </c>
      <c r="G60" s="38">
        <v>1000</v>
      </c>
    </row>
    <row r="61" spans="1:7" x14ac:dyDescent="0.2">
      <c r="A61" s="127"/>
      <c r="B61" s="128" t="s">
        <v>25</v>
      </c>
      <c r="C61" s="129"/>
      <c r="D61" s="129"/>
      <c r="E61" s="130" t="s">
        <v>24</v>
      </c>
      <c r="F61" s="131" t="s">
        <v>13</v>
      </c>
      <c r="G61" s="38">
        <v>1250</v>
      </c>
    </row>
    <row r="62" spans="1:7" x14ac:dyDescent="0.2">
      <c r="A62" s="127"/>
      <c r="B62" s="128" t="s">
        <v>27</v>
      </c>
      <c r="C62" s="129"/>
      <c r="D62" s="129"/>
      <c r="E62" s="130" t="s">
        <v>24</v>
      </c>
      <c r="F62" s="131" t="s">
        <v>13</v>
      </c>
      <c r="G62" s="38">
        <v>1750</v>
      </c>
    </row>
    <row r="63" spans="1:7" x14ac:dyDescent="0.2">
      <c r="A63" s="127"/>
      <c r="B63" s="128" t="s">
        <v>26</v>
      </c>
      <c r="C63" s="129"/>
      <c r="D63" s="129"/>
      <c r="E63" s="130" t="s">
        <v>24</v>
      </c>
      <c r="F63" s="131" t="s">
        <v>13</v>
      </c>
      <c r="G63" s="38">
        <v>2250</v>
      </c>
    </row>
    <row r="64" spans="1:7" x14ac:dyDescent="0.2">
      <c r="A64" s="127"/>
      <c r="B64" s="128" t="s">
        <v>28</v>
      </c>
      <c r="C64" s="129"/>
      <c r="D64" s="129"/>
      <c r="E64" s="130" t="s">
        <v>24</v>
      </c>
      <c r="F64" s="131" t="s">
        <v>13</v>
      </c>
      <c r="G64" s="38">
        <v>3000</v>
      </c>
    </row>
    <row r="65" spans="1:7" x14ac:dyDescent="0.2">
      <c r="A65" s="127"/>
      <c r="B65" s="128" t="s">
        <v>29</v>
      </c>
      <c r="C65" s="129"/>
      <c r="D65" s="129"/>
      <c r="E65" s="130" t="s">
        <v>24</v>
      </c>
      <c r="F65" s="131" t="s">
        <v>13</v>
      </c>
      <c r="G65" s="38">
        <v>4000</v>
      </c>
    </row>
    <row r="66" spans="1:7" x14ac:dyDescent="0.2">
      <c r="A66" s="127"/>
      <c r="B66" s="128" t="s">
        <v>30</v>
      </c>
      <c r="C66" s="129"/>
      <c r="D66" s="129"/>
      <c r="E66" s="130" t="s">
        <v>24</v>
      </c>
      <c r="F66" s="131" t="s">
        <v>13</v>
      </c>
      <c r="G66" s="38">
        <v>5000</v>
      </c>
    </row>
    <row r="67" spans="1:7" x14ac:dyDescent="0.2">
      <c r="A67" s="132"/>
      <c r="B67" s="133" t="s">
        <v>23</v>
      </c>
      <c r="C67" s="134"/>
      <c r="D67" s="134"/>
      <c r="E67" s="135" t="s">
        <v>24</v>
      </c>
      <c r="F67" s="136" t="s">
        <v>13</v>
      </c>
      <c r="G67" s="38">
        <v>6000</v>
      </c>
    </row>
    <row r="68" spans="1:7" x14ac:dyDescent="0.2">
      <c r="A68" s="137" t="s">
        <v>9</v>
      </c>
      <c r="B68" s="133">
        <v>1800</v>
      </c>
      <c r="C68" s="134"/>
      <c r="D68" s="134"/>
      <c r="E68" s="135"/>
      <c r="F68" s="136" t="s">
        <v>13</v>
      </c>
    </row>
  </sheetData>
  <pageMargins left="0.7" right="0.7" top="0.75" bottom="0.75" header="0.3" footer="0.3"/>
  <pageSetup paperSize="9" orientation="portrait" r:id="rId1"/>
  <headerFooter>
    <oddFooter>&amp;L075885177:0.11!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J29" sqref="J29"/>
    </sheetView>
  </sheetViews>
  <sheetFormatPr defaultRowHeight="15" x14ac:dyDescent="0.25"/>
  <cols>
    <col min="1" max="1" width="18.5703125" bestFit="1" customWidth="1"/>
    <col min="2" max="2" width="28.42578125" bestFit="1" customWidth="1"/>
  </cols>
  <sheetData>
    <row r="1" spans="1:6" x14ac:dyDescent="0.25">
      <c r="A1" s="167" t="s">
        <v>71</v>
      </c>
      <c r="B1" s="167"/>
      <c r="C1" s="167"/>
      <c r="D1" s="167"/>
      <c r="E1" s="167"/>
      <c r="F1" s="138"/>
    </row>
    <row r="2" spans="1:6" x14ac:dyDescent="0.25">
      <c r="A2" s="138"/>
      <c r="B2" s="138"/>
      <c r="C2" s="139">
        <v>120</v>
      </c>
      <c r="D2" s="139">
        <v>100</v>
      </c>
      <c r="E2" s="139">
        <v>80</v>
      </c>
      <c r="F2" s="138"/>
    </row>
    <row r="3" spans="1:6" x14ac:dyDescent="0.25">
      <c r="A3" s="141" t="s">
        <v>64</v>
      </c>
      <c r="B3" s="138" t="s">
        <v>71</v>
      </c>
      <c r="C3" s="138">
        <v>275</v>
      </c>
      <c r="D3" s="138">
        <v>230</v>
      </c>
      <c r="E3" s="138">
        <v>185</v>
      </c>
      <c r="F3" s="138"/>
    </row>
    <row r="4" spans="1:6" x14ac:dyDescent="0.25">
      <c r="A4" s="141" t="s">
        <v>65</v>
      </c>
      <c r="B4" s="138" t="s">
        <v>71</v>
      </c>
      <c r="C4" s="138">
        <v>275</v>
      </c>
      <c r="D4" s="138">
        <v>230</v>
      </c>
      <c r="E4" s="138">
        <v>185</v>
      </c>
      <c r="F4" s="138"/>
    </row>
    <row r="5" spans="1:6" x14ac:dyDescent="0.25">
      <c r="A5" s="141" t="s">
        <v>66</v>
      </c>
      <c r="B5" s="138" t="s">
        <v>71</v>
      </c>
      <c r="C5" s="138">
        <v>575</v>
      </c>
      <c r="D5" s="138">
        <v>480</v>
      </c>
      <c r="E5" s="138">
        <v>385</v>
      </c>
      <c r="F5" s="138"/>
    </row>
    <row r="6" spans="1:6" x14ac:dyDescent="0.25">
      <c r="A6" s="141" t="s">
        <v>67</v>
      </c>
      <c r="B6" s="138" t="s">
        <v>71</v>
      </c>
      <c r="C6" s="138">
        <v>375</v>
      </c>
      <c r="D6" s="138">
        <v>315</v>
      </c>
      <c r="E6" s="138">
        <v>250</v>
      </c>
      <c r="F6" s="138"/>
    </row>
    <row r="7" spans="1:6" x14ac:dyDescent="0.25">
      <c r="A7" s="141" t="s">
        <v>68</v>
      </c>
      <c r="B7" s="138" t="s">
        <v>71</v>
      </c>
      <c r="C7" s="138">
        <v>400</v>
      </c>
      <c r="D7" s="138">
        <v>335</v>
      </c>
      <c r="E7" s="138">
        <v>265</v>
      </c>
      <c r="F7" s="138"/>
    </row>
    <row r="8" spans="1:6" x14ac:dyDescent="0.25">
      <c r="A8" s="141" t="s">
        <v>69</v>
      </c>
      <c r="B8" s="138" t="s">
        <v>71</v>
      </c>
      <c r="C8" s="138">
        <v>390</v>
      </c>
      <c r="D8" s="138">
        <v>325</v>
      </c>
      <c r="E8" s="138">
        <v>260</v>
      </c>
      <c r="F8" s="138"/>
    </row>
    <row r="9" spans="1:6" x14ac:dyDescent="0.25">
      <c r="A9" s="141" t="s">
        <v>70</v>
      </c>
      <c r="B9" s="138" t="s">
        <v>71</v>
      </c>
      <c r="C9" s="138">
        <v>200</v>
      </c>
      <c r="D9" s="138">
        <v>165</v>
      </c>
      <c r="E9" s="138">
        <v>135</v>
      </c>
      <c r="F9" s="138"/>
    </row>
    <row r="10" spans="1:6" x14ac:dyDescent="0.25">
      <c r="A10" s="167" t="s">
        <v>74</v>
      </c>
      <c r="B10" s="167"/>
      <c r="C10" s="167"/>
      <c r="D10" s="167"/>
      <c r="E10" s="167"/>
      <c r="F10" s="167"/>
    </row>
    <row r="11" spans="1:6" x14ac:dyDescent="0.25">
      <c r="A11" s="138"/>
      <c r="B11" s="138"/>
      <c r="C11" s="139">
        <v>120</v>
      </c>
      <c r="D11" s="139">
        <v>100</v>
      </c>
      <c r="E11" s="139">
        <v>80</v>
      </c>
      <c r="F11" s="138"/>
    </row>
    <row r="12" spans="1:6" x14ac:dyDescent="0.25">
      <c r="A12" s="141" t="s">
        <v>64</v>
      </c>
      <c r="B12" s="138" t="s">
        <v>74</v>
      </c>
      <c r="C12" s="138">
        <v>480</v>
      </c>
      <c r="D12" s="138">
        <v>390</v>
      </c>
      <c r="E12" s="138">
        <v>300</v>
      </c>
      <c r="F12" s="138"/>
    </row>
    <row r="13" spans="1:6" x14ac:dyDescent="0.25">
      <c r="A13" s="141" t="s">
        <v>65</v>
      </c>
      <c r="B13" s="138" t="s">
        <v>74</v>
      </c>
      <c r="C13" s="138">
        <v>900</v>
      </c>
      <c r="D13" s="138">
        <v>750</v>
      </c>
      <c r="E13" s="138">
        <v>600</v>
      </c>
      <c r="F13" s="138"/>
    </row>
    <row r="14" spans="1:6" x14ac:dyDescent="0.25">
      <c r="A14" s="141" t="s">
        <v>66</v>
      </c>
      <c r="B14" s="138" t="s">
        <v>74</v>
      </c>
      <c r="C14" s="138">
        <v>180</v>
      </c>
      <c r="D14" s="138">
        <v>140</v>
      </c>
      <c r="E14" s="138">
        <v>100</v>
      </c>
      <c r="F14" s="138"/>
    </row>
    <row r="15" spans="1:6" x14ac:dyDescent="0.25">
      <c r="A15" s="141" t="s">
        <v>67</v>
      </c>
      <c r="B15" s="138" t="s">
        <v>74</v>
      </c>
      <c r="C15" s="138">
        <v>180</v>
      </c>
      <c r="D15" s="138">
        <v>140</v>
      </c>
      <c r="E15" s="138">
        <v>100</v>
      </c>
      <c r="F15" s="138"/>
    </row>
    <row r="16" spans="1:6" x14ac:dyDescent="0.25">
      <c r="A16" s="141" t="s">
        <v>68</v>
      </c>
      <c r="B16" s="138" t="s">
        <v>74</v>
      </c>
      <c r="C16" s="138">
        <v>295</v>
      </c>
      <c r="D16" s="138">
        <v>230</v>
      </c>
      <c r="E16" s="138">
        <v>180</v>
      </c>
      <c r="F16" s="138"/>
    </row>
    <row r="17" spans="1:6" x14ac:dyDescent="0.25">
      <c r="A17" s="141" t="s">
        <v>69</v>
      </c>
      <c r="B17" s="138" t="s">
        <v>74</v>
      </c>
      <c r="C17" s="138">
        <v>180</v>
      </c>
      <c r="D17" s="138">
        <v>140</v>
      </c>
      <c r="E17" s="138">
        <v>100</v>
      </c>
      <c r="F17" s="138"/>
    </row>
    <row r="18" spans="1:6" x14ac:dyDescent="0.25">
      <c r="A18" s="141" t="s">
        <v>70</v>
      </c>
      <c r="B18" s="138" t="s">
        <v>74</v>
      </c>
      <c r="C18" s="138">
        <v>105</v>
      </c>
      <c r="D18" s="138">
        <v>75</v>
      </c>
      <c r="E18" s="138">
        <v>55</v>
      </c>
      <c r="F18" s="138"/>
    </row>
    <row r="19" spans="1:6" x14ac:dyDescent="0.25">
      <c r="A19" s="140"/>
    </row>
    <row r="21" spans="1:6" x14ac:dyDescent="0.25">
      <c r="A21" s="168"/>
      <c r="B21" s="168"/>
      <c r="C21" s="168"/>
      <c r="D21" s="168"/>
      <c r="E21" s="168"/>
    </row>
    <row r="22" spans="1:6" x14ac:dyDescent="0.25">
      <c r="C22" s="118" t="s">
        <v>56</v>
      </c>
      <c r="D22" s="118" t="s">
        <v>55</v>
      </c>
      <c r="E22" s="118" t="s">
        <v>75</v>
      </c>
    </row>
    <row r="23" spans="1:6" x14ac:dyDescent="0.25">
      <c r="A23" s="140" t="s">
        <v>64</v>
      </c>
      <c r="B23" t="s">
        <v>71</v>
      </c>
      <c r="C23">
        <v>275</v>
      </c>
      <c r="D23">
        <v>230</v>
      </c>
      <c r="E23">
        <v>185</v>
      </c>
    </row>
    <row r="24" spans="1:6" x14ac:dyDescent="0.25">
      <c r="A24" s="140" t="s">
        <v>64</v>
      </c>
      <c r="B24" t="s">
        <v>72</v>
      </c>
      <c r="C24">
        <v>585</v>
      </c>
      <c r="D24">
        <v>465</v>
      </c>
      <c r="E24">
        <v>355</v>
      </c>
    </row>
    <row r="25" spans="1:6" x14ac:dyDescent="0.25">
      <c r="A25" s="140" t="s">
        <v>64</v>
      </c>
      <c r="B25" t="s">
        <v>73</v>
      </c>
      <c r="C25">
        <v>230</v>
      </c>
      <c r="D25">
        <v>170</v>
      </c>
      <c r="E25">
        <v>125</v>
      </c>
    </row>
    <row r="26" spans="1:6" x14ac:dyDescent="0.25">
      <c r="A26" s="140" t="s">
        <v>64</v>
      </c>
      <c r="B26" t="s">
        <v>74</v>
      </c>
      <c r="C26">
        <v>480</v>
      </c>
      <c r="D26">
        <v>390</v>
      </c>
      <c r="E26">
        <v>300</v>
      </c>
    </row>
    <row r="27" spans="1:6" x14ac:dyDescent="0.25">
      <c r="A27" s="140" t="s">
        <v>65</v>
      </c>
      <c r="B27" t="s">
        <v>71</v>
      </c>
      <c r="C27">
        <v>275</v>
      </c>
      <c r="D27">
        <v>230</v>
      </c>
      <c r="E27">
        <v>185</v>
      </c>
    </row>
    <row r="28" spans="1:6" x14ac:dyDescent="0.25">
      <c r="A28" s="140" t="s">
        <v>65</v>
      </c>
      <c r="B28" t="s">
        <v>72</v>
      </c>
      <c r="C28">
        <v>900</v>
      </c>
      <c r="D28">
        <v>750</v>
      </c>
      <c r="E28">
        <v>600</v>
      </c>
    </row>
    <row r="29" spans="1:6" x14ac:dyDescent="0.25">
      <c r="A29" s="140" t="s">
        <v>65</v>
      </c>
      <c r="B29" t="s">
        <v>73</v>
      </c>
      <c r="C29">
        <v>230</v>
      </c>
      <c r="D29">
        <v>170</v>
      </c>
      <c r="E29">
        <v>125</v>
      </c>
    </row>
    <row r="30" spans="1:6" x14ac:dyDescent="0.25">
      <c r="A30" s="140" t="s">
        <v>65</v>
      </c>
      <c r="B30" t="s">
        <v>74</v>
      </c>
      <c r="C30">
        <v>900</v>
      </c>
      <c r="D30">
        <v>750</v>
      </c>
      <c r="E30">
        <v>600</v>
      </c>
    </row>
    <row r="31" spans="1:6" x14ac:dyDescent="0.25">
      <c r="A31" s="140" t="s">
        <v>66</v>
      </c>
      <c r="B31" t="s">
        <v>71</v>
      </c>
      <c r="C31">
        <v>575</v>
      </c>
      <c r="D31">
        <v>480</v>
      </c>
      <c r="E31">
        <v>385</v>
      </c>
    </row>
    <row r="32" spans="1:6" x14ac:dyDescent="0.25">
      <c r="A32" s="140" t="s">
        <v>66</v>
      </c>
      <c r="B32" t="s">
        <v>72</v>
      </c>
      <c r="C32">
        <v>210</v>
      </c>
      <c r="D32">
        <v>150</v>
      </c>
      <c r="E32">
        <v>105</v>
      </c>
    </row>
    <row r="33" spans="1:5" x14ac:dyDescent="0.25">
      <c r="A33" s="140" t="s">
        <v>66</v>
      </c>
      <c r="B33" t="s">
        <v>73</v>
      </c>
      <c r="C33">
        <v>605</v>
      </c>
      <c r="D33">
        <v>485</v>
      </c>
      <c r="E33">
        <v>375</v>
      </c>
    </row>
    <row r="34" spans="1:5" x14ac:dyDescent="0.25">
      <c r="A34" s="140" t="s">
        <v>66</v>
      </c>
      <c r="B34" t="s">
        <v>74</v>
      </c>
      <c r="C34">
        <v>180</v>
      </c>
      <c r="D34">
        <v>140</v>
      </c>
      <c r="E34">
        <v>100</v>
      </c>
    </row>
    <row r="35" spans="1:5" x14ac:dyDescent="0.25">
      <c r="A35" s="140" t="s">
        <v>67</v>
      </c>
      <c r="B35" t="s">
        <v>71</v>
      </c>
      <c r="C35">
        <v>375</v>
      </c>
      <c r="D35">
        <v>315</v>
      </c>
      <c r="E35">
        <v>250</v>
      </c>
    </row>
    <row r="36" spans="1:5" x14ac:dyDescent="0.25">
      <c r="A36" s="140" t="s">
        <v>67</v>
      </c>
      <c r="B36" t="s">
        <v>72</v>
      </c>
      <c r="C36">
        <v>210</v>
      </c>
      <c r="D36">
        <v>150</v>
      </c>
      <c r="E36">
        <v>105</v>
      </c>
    </row>
    <row r="37" spans="1:5" x14ac:dyDescent="0.25">
      <c r="A37" s="140" t="s">
        <v>67</v>
      </c>
      <c r="B37" t="s">
        <v>73</v>
      </c>
      <c r="C37">
        <v>375</v>
      </c>
      <c r="D37">
        <v>315</v>
      </c>
      <c r="E37">
        <v>250</v>
      </c>
    </row>
    <row r="38" spans="1:5" x14ac:dyDescent="0.25">
      <c r="A38" s="140" t="s">
        <v>67</v>
      </c>
      <c r="B38" t="s">
        <v>74</v>
      </c>
      <c r="C38">
        <v>180</v>
      </c>
      <c r="D38">
        <v>140</v>
      </c>
      <c r="E38">
        <v>100</v>
      </c>
    </row>
    <row r="39" spans="1:5" x14ac:dyDescent="0.25">
      <c r="A39" s="140" t="s">
        <v>68</v>
      </c>
      <c r="B39" t="s">
        <v>71</v>
      </c>
      <c r="C39">
        <v>400</v>
      </c>
      <c r="D39">
        <v>335</v>
      </c>
      <c r="E39">
        <v>265</v>
      </c>
    </row>
    <row r="40" spans="1:5" x14ac:dyDescent="0.25">
      <c r="A40" s="140" t="s">
        <v>68</v>
      </c>
      <c r="B40" t="s">
        <v>74</v>
      </c>
      <c r="C40">
        <v>295</v>
      </c>
      <c r="D40">
        <v>230</v>
      </c>
      <c r="E40">
        <v>180</v>
      </c>
    </row>
    <row r="41" spans="1:5" x14ac:dyDescent="0.25">
      <c r="A41" s="140" t="s">
        <v>69</v>
      </c>
      <c r="B41" t="s">
        <v>71</v>
      </c>
      <c r="C41">
        <v>390</v>
      </c>
      <c r="D41">
        <v>325</v>
      </c>
      <c r="E41">
        <v>260</v>
      </c>
    </row>
    <row r="42" spans="1:5" x14ac:dyDescent="0.25">
      <c r="A42" s="140" t="s">
        <v>69</v>
      </c>
      <c r="B42" t="s">
        <v>72</v>
      </c>
      <c r="C42">
        <v>210</v>
      </c>
      <c r="D42">
        <v>150</v>
      </c>
      <c r="E42">
        <v>105</v>
      </c>
    </row>
    <row r="43" spans="1:5" x14ac:dyDescent="0.25">
      <c r="A43" s="140" t="s">
        <v>69</v>
      </c>
      <c r="B43" t="s">
        <v>73</v>
      </c>
      <c r="C43">
        <v>230</v>
      </c>
      <c r="D43">
        <v>170</v>
      </c>
      <c r="E43">
        <v>125</v>
      </c>
    </row>
    <row r="44" spans="1:5" x14ac:dyDescent="0.25">
      <c r="A44" s="140" t="s">
        <v>69</v>
      </c>
      <c r="B44" t="s">
        <v>74</v>
      </c>
      <c r="C44">
        <v>180</v>
      </c>
      <c r="D44">
        <v>140</v>
      </c>
      <c r="E44">
        <v>100</v>
      </c>
    </row>
    <row r="45" spans="1:5" x14ac:dyDescent="0.25">
      <c r="A45" s="140" t="s">
        <v>70</v>
      </c>
      <c r="B45" t="s">
        <v>71</v>
      </c>
      <c r="C45">
        <v>200</v>
      </c>
      <c r="D45">
        <v>165</v>
      </c>
      <c r="E45">
        <v>135</v>
      </c>
    </row>
    <row r="46" spans="1:5" x14ac:dyDescent="0.25">
      <c r="A46" s="140" t="s">
        <v>70</v>
      </c>
      <c r="B46" t="s">
        <v>74</v>
      </c>
      <c r="C46">
        <v>105</v>
      </c>
      <c r="D46">
        <v>75</v>
      </c>
      <c r="E46">
        <v>55</v>
      </c>
    </row>
  </sheetData>
  <mergeCells count="3">
    <mergeCell ref="A1:E1"/>
    <mergeCell ref="A21:E21"/>
    <mergeCell ref="A10:F10"/>
  </mergeCells>
  <pageMargins left="0.7" right="0.7" top="0.75" bottom="0.75" header="0.3" footer="0.3"/>
  <pageSetup paperSize="9" orientation="portrait" r:id="rId1"/>
  <headerFooter>
    <oddFooter>&amp;L075885177:0.11!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9" sqref="B9"/>
    </sheetView>
  </sheetViews>
  <sheetFormatPr defaultRowHeight="11.25" x14ac:dyDescent="0.15"/>
  <cols>
    <col min="1" max="1" width="38.140625" style="173" customWidth="1"/>
    <col min="2" max="16384" width="9.140625" style="173"/>
  </cols>
  <sheetData>
    <row r="3" spans="1:3" x14ac:dyDescent="0.15">
      <c r="A3" s="173" t="s">
        <v>100</v>
      </c>
      <c r="B3" s="173">
        <v>15.62</v>
      </c>
      <c r="C3" s="173" t="s">
        <v>103</v>
      </c>
    </row>
    <row r="4" spans="1:3" x14ac:dyDescent="0.15">
      <c r="A4" s="173" t="s">
        <v>101</v>
      </c>
      <c r="B4" s="173">
        <v>6.73</v>
      </c>
      <c r="C4" s="173" t="s">
        <v>103</v>
      </c>
    </row>
    <row r="5" spans="1:3" x14ac:dyDescent="0.15">
      <c r="A5" s="173" t="s">
        <v>102</v>
      </c>
      <c r="B5" s="174">
        <f>B3*Rekensheet!B31/100+Fileduur!B4*(1-Rekensheet!B31/100)</f>
        <v>8.0635000000000012</v>
      </c>
    </row>
    <row r="7" spans="1:3" ht="15" x14ac:dyDescent="0.25">
      <c r="A7" t="s">
        <v>104</v>
      </c>
      <c r="B7" s="175">
        <f>Rekensheet!B14/60/Rekensheet!B17*B5</f>
        <v>252.29795555555557</v>
      </c>
    </row>
    <row r="9" spans="1:3" x14ac:dyDescent="0.15">
      <c r="A9" s="173" t="s">
        <v>105</v>
      </c>
      <c r="B9" s="176">
        <f>Rekensheet!B19/Fileduur!B7</f>
        <v>3.9635675913346895</v>
      </c>
      <c r="C9" s="173" t="s">
        <v>106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Rekensheet</vt:lpstr>
      <vt:lpstr>achtergrondinformatie</vt:lpstr>
      <vt:lpstr>Bijlage B</vt:lpstr>
      <vt:lpstr>Fileduur</vt:lpstr>
      <vt:lpstr>Rekensheet!Afdrukbereik</vt:lpstr>
      <vt:lpstr>Type_tunnel</vt:lpstr>
    </vt:vector>
  </TitlesOfParts>
  <Company>ARCADIS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Beenker N.J. (Niels)</dc:creator>
  <cp:lastModifiedBy>Wiersma, Tineke (GPO)</cp:lastModifiedBy>
  <cp:lastPrinted>2012-01-17T15:04:59Z</cp:lastPrinted>
  <dcterms:created xsi:type="dcterms:W3CDTF">2011-11-24T12:07:19Z</dcterms:created>
  <dcterms:modified xsi:type="dcterms:W3CDTF">2014-12-22T12:54:28Z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pVersienummerklant">
    <vt:lpwstr>0.11!</vt:lpwstr>
  </property>
  <property fmtid="{D5CDD505-2E9C-101B-9397-08002B2CF9AE}" pid="3" name="CdpVersienummer">
    <vt:lpwstr>0.11</vt:lpwstr>
  </property>
  <property fmtid="{D5CDD505-2E9C-101B-9397-08002B2CF9AE}" pid="4" name="CdpFilenetID">
    <vt:lpwstr>075885177</vt:lpwstr>
  </property>
  <property fmtid="{D5CDD505-2E9C-101B-9397-08002B2CF9AE}" pid="5" name="cdpSoort">
    <vt:lpwstr>Berekening Technisch</vt:lpwstr>
  </property>
  <property fmtid="{D5CDD505-2E9C-101B-9397-08002B2CF9AE}" pid="6" name="cdpTitel">
    <vt:lpwstr>Rekenblad v.01_241111</vt:lpwstr>
  </property>
  <property fmtid="{D5CDD505-2E9C-101B-9397-08002B2CF9AE}" pid="7" name="cdpOpdrachtgever (1)">
    <vt:lpwstr>Rijkswaterstaat Dienst Infrastru</vt:lpwstr>
  </property>
  <property fmtid="{D5CDD505-2E9C-101B-9397-08002B2CF9AE}" pid="8" name="cdpOpdrachtgever (2)">
    <vt:lpwstr> </vt:lpwstr>
  </property>
  <property fmtid="{D5CDD505-2E9C-101B-9397-08002B2CF9AE}" pid="9" name="cdpProjectomschrijving (1)">
    <vt:lpwstr>RWS-DI   INCIDENTCIJFERS RWS QRA</vt:lpwstr>
  </property>
  <property fmtid="{D5CDD505-2E9C-101B-9397-08002B2CF9AE}" pid="10" name="cdpProjectomschrijving (2)">
    <vt:lpwstr> </vt:lpwstr>
  </property>
  <property fmtid="{D5CDD505-2E9C-101B-9397-08002B2CF9AE}" pid="11" name="cdpCheckedInByUser">
    <vt:lpwstr>broerenp</vt:lpwstr>
  </property>
  <property fmtid="{D5CDD505-2E9C-101B-9397-08002B2CF9AE}" pid="12" name="cdpCheckindate">
    <vt:filetime>2012-04-03T09:58:58Z</vt:filetime>
  </property>
  <property fmtid="{D5CDD505-2E9C-101B-9397-08002B2CF9AE}" pid="13" name="cdpGecontroleerdDoor">
    <vt:lpwstr> </vt:lpwstr>
  </property>
  <property fmtid="{D5CDD505-2E9C-101B-9397-08002B2CF9AE}" pid="14" name="cdpGecontroleerdOp">
    <vt:lpwstr> </vt:lpwstr>
  </property>
  <property fmtid="{D5CDD505-2E9C-101B-9397-08002B2CF9AE}" pid="15" name="cdpGoedgekeurdDoor">
    <vt:lpwstr> </vt:lpwstr>
  </property>
  <property fmtid="{D5CDD505-2E9C-101B-9397-08002B2CF9AE}" pid="16" name="cdpGoedgekeurdOp">
    <vt:lpwstr> </vt:lpwstr>
  </property>
  <property fmtid="{D5CDD505-2E9C-101B-9397-08002B2CF9AE}" pid="17" name="cdpStatus">
    <vt:lpwstr>Checked In</vt:lpwstr>
  </property>
  <property fmtid="{D5CDD505-2E9C-101B-9397-08002B2CF9AE}" pid="18" name="cdpAddress1">
    <vt:lpwstr> </vt:lpwstr>
  </property>
  <property fmtid="{D5CDD505-2E9C-101B-9397-08002B2CF9AE}" pid="19" name="cdpAddress2">
    <vt:lpwstr> </vt:lpwstr>
  </property>
  <property fmtid="{D5CDD505-2E9C-101B-9397-08002B2CF9AE}" pid="20" name="cdpKenmerk">
    <vt:lpwstr> </vt:lpwstr>
  </property>
  <property fmtid="{D5CDD505-2E9C-101B-9397-08002B2CF9AE}" pid="21" name="cdpSubject1">
    <vt:lpwstr>Rekenblad v.01_241111</vt:lpwstr>
  </property>
  <property fmtid="{D5CDD505-2E9C-101B-9397-08002B2CF9AE}" pid="22" name="cdpSubject2">
    <vt:lpwstr> </vt:lpwstr>
  </property>
  <property fmtid="{D5CDD505-2E9C-101B-9397-08002B2CF9AE}" pid="23" name="cdpProjectDefinitie">
    <vt:lpwstr>D01011.000673</vt:lpwstr>
  </property>
  <property fmtid="{D5CDD505-2E9C-101B-9397-08002B2CF9AE}" pid="24" name="cdpWBS">
    <vt:lpwstr>D01011.000673.0100</vt:lpwstr>
  </property>
  <property fmtid="{D5CDD505-2E9C-101B-9397-08002B2CF9AE}" pid="25" name="cdpProjectleider">
    <vt:lpwstr>Broeren,P</vt:lpwstr>
  </property>
</Properties>
</file>